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70" windowHeight="10320" firstSheet="14" activeTab="19"/>
  </bookViews>
  <sheets>
    <sheet name="Tabela Nr 1" sheetId="68" r:id="rId1"/>
    <sheet name="Tabela Nr 2" sheetId="67" r:id="rId2"/>
    <sheet name="Tabela Nr 3" sheetId="60" r:id="rId3"/>
    <sheet name="Tabela Nr 4" sheetId="61" r:id="rId4"/>
    <sheet name="Załącznik Nr 1" sheetId="37" r:id="rId5"/>
    <sheet name="Załącznik Nr 2" sheetId="54" r:id="rId6"/>
    <sheet name="Załącznik Nr 3" sheetId="55" r:id="rId7"/>
    <sheet name="Załącznik Nr 4" sheetId="40" r:id="rId8"/>
    <sheet name="Załącznik Nr 5" sheetId="41" r:id="rId9"/>
    <sheet name="Załącznik Nr 6" sheetId="42" r:id="rId10"/>
    <sheet name="Załącznik Nr 7" sheetId="69" r:id="rId11"/>
    <sheet name="Załącznik Nr 8" sheetId="62" r:id="rId12"/>
    <sheet name=" Załącznik Nr 9 " sheetId="63" r:id="rId13"/>
    <sheet name="Załącznik Nr 10 " sheetId="64" r:id="rId14"/>
    <sheet name="Załącznik Nr 11" sheetId="65" r:id="rId15"/>
    <sheet name="Załącznik Nr 12" sheetId="66" r:id="rId16"/>
    <sheet name="Zał Nr 13 adm.rząd.doch." sheetId="70" r:id="rId17"/>
    <sheet name="Zał Nr 13 adm.rzad.wyd." sheetId="71" r:id="rId18"/>
    <sheet name="Załącznik Nr 14" sheetId="59" r:id="rId19"/>
    <sheet name="Załącznik Nr 15" sheetId="44" r:id="rId20"/>
  </sheets>
  <definedNames>
    <definedName name="_xlnm.Print_Area" localSheetId="12">' Załącznik Nr 9 '!$A$1:$G$8</definedName>
    <definedName name="_xlnm.Print_Area" localSheetId="0">'Tabela Nr 1'!$A$1:$E$340</definedName>
    <definedName name="_xlnm.Print_Area" localSheetId="1">'Tabela Nr 2'!$A$1:$F$1664</definedName>
    <definedName name="_xlnm.Print_Area" localSheetId="2">'Tabela Nr 3'!$A$1:$J$17</definedName>
    <definedName name="_xlnm.Print_Area" localSheetId="3">'Tabela Nr 4'!$A$1:$J$1449</definedName>
    <definedName name="_xlnm.Print_Area" localSheetId="17">'Zał Nr 13 adm.rzad.wyd.'!$A$1:$L$133</definedName>
    <definedName name="_xlnm.Print_Area" localSheetId="16">'Zał Nr 13 adm.rząd.doch.'!$A$1:$E$49</definedName>
    <definedName name="_xlnm.Print_Area" localSheetId="4">'Załącznik Nr 1'!$A$1:$F$50</definedName>
    <definedName name="_xlnm.Print_Area" localSheetId="13">'Załącznik Nr 10 '!$A$1:$G$8</definedName>
    <definedName name="_xlnm.Print_Area" localSheetId="14">'Załącznik Nr 11'!$A$1:$G$31</definedName>
    <definedName name="_xlnm.Print_Area" localSheetId="15">'Załącznik Nr 12'!$A$1:$G$10</definedName>
    <definedName name="_xlnm.Print_Area" localSheetId="18">'Załącznik Nr 14'!$A$1:$G$25</definedName>
    <definedName name="_xlnm.Print_Area" localSheetId="19">'Załącznik Nr 15'!$A$1:$D$24</definedName>
    <definedName name="_xlnm.Print_Area" localSheetId="5">'Załącznik Nr 2'!$A$1:$I$37</definedName>
    <definedName name="_xlnm.Print_Area" localSheetId="6">'Załącznik Nr 3'!$A$1:$G$20</definedName>
    <definedName name="_xlnm.Print_Area" localSheetId="7">'Załącznik Nr 4'!$A$1:$F$6</definedName>
    <definedName name="_xlnm.Print_Area" localSheetId="8">'Załącznik Nr 5'!$A$1:$I$15</definedName>
    <definedName name="_xlnm.Print_Area" localSheetId="9">'Załącznik Nr 6'!$A$1:$I$9</definedName>
    <definedName name="_xlnm.Print_Area" localSheetId="10">'Załącznik Nr 7'!$A$1:$K$24</definedName>
    <definedName name="_xlnm.Print_Area" localSheetId="11">'Załącznik Nr 8'!$A$1:$G$9</definedName>
    <definedName name="_xlnm.Print_Titles" localSheetId="0">'Tabela Nr 1'!$7:$9</definedName>
    <definedName name="_xlnm.Print_Titles" localSheetId="1">'Tabela Nr 2'!$4:$5</definedName>
    <definedName name="_xlnm.Print_Titles" localSheetId="2">'Tabela Nr 3'!$5:$6</definedName>
    <definedName name="_xlnm.Print_Titles" localSheetId="3">'Tabela Nr 4'!$5:$6</definedName>
    <definedName name="_xlnm.Print_Titles" localSheetId="17">'Zał Nr 13 adm.rzad.wyd.'!$1:$5</definedName>
    <definedName name="_xlnm.Print_Titles" localSheetId="8">'Załącznik Nr 5'!$4:$6</definedName>
  </definedNames>
  <calcPr calcId="152511"/>
</workbook>
</file>

<file path=xl/calcChain.xml><?xml version="1.0" encoding="utf-8"?>
<calcChain xmlns="http://schemas.openxmlformats.org/spreadsheetml/2006/main">
  <c r="F18" i="37" l="1"/>
  <c r="E271" i="71" l="1"/>
  <c r="J133" i="71"/>
  <c r="G132" i="71"/>
  <c r="F132" i="71" s="1"/>
  <c r="E132" i="71" s="1"/>
  <c r="G131" i="71"/>
  <c r="F131" i="71"/>
  <c r="E131" i="71" s="1"/>
  <c r="G130" i="71"/>
  <c r="F130" i="71" s="1"/>
  <c r="E130" i="71" s="1"/>
  <c r="G129" i="71"/>
  <c r="F129" i="71"/>
  <c r="E129" i="71" s="1"/>
  <c r="G128" i="71"/>
  <c r="F128" i="71" s="1"/>
  <c r="E128" i="71" s="1"/>
  <c r="G127" i="71"/>
  <c r="F127" i="71"/>
  <c r="E127" i="71" s="1"/>
  <c r="G126" i="71"/>
  <c r="F126" i="71" s="1"/>
  <c r="E126" i="71" s="1"/>
  <c r="G125" i="71"/>
  <c r="F125" i="71"/>
  <c r="E125" i="71" s="1"/>
  <c r="G124" i="71"/>
  <c r="F124" i="71" s="1"/>
  <c r="E124" i="71" s="1"/>
  <c r="G123" i="71"/>
  <c r="F123" i="71"/>
  <c r="E123" i="71" s="1"/>
  <c r="G122" i="71"/>
  <c r="F122" i="71" s="1"/>
  <c r="E122" i="71" s="1"/>
  <c r="G121" i="71"/>
  <c r="F121" i="71"/>
  <c r="E121" i="71" s="1"/>
  <c r="G120" i="71"/>
  <c r="F120" i="71" s="1"/>
  <c r="E120" i="71" s="1"/>
  <c r="G119" i="71"/>
  <c r="F119" i="71"/>
  <c r="E119" i="71" s="1"/>
  <c r="G118" i="71"/>
  <c r="F118" i="71" s="1"/>
  <c r="E118" i="71" s="1"/>
  <c r="G117" i="71"/>
  <c r="F117" i="71"/>
  <c r="E117" i="71" s="1"/>
  <c r="G116" i="71"/>
  <c r="F116" i="71" s="1"/>
  <c r="E116" i="71" s="1"/>
  <c r="G115" i="71"/>
  <c r="F115" i="71"/>
  <c r="E115" i="71" s="1"/>
  <c r="F114" i="71"/>
  <c r="E114" i="71" s="1"/>
  <c r="K113" i="71"/>
  <c r="K71" i="71" s="1"/>
  <c r="I113" i="71"/>
  <c r="H113" i="71"/>
  <c r="G113" i="71" s="1"/>
  <c r="F113" i="71" s="1"/>
  <c r="E113" i="71" s="1"/>
  <c r="G112" i="71"/>
  <c r="F112" i="71" s="1"/>
  <c r="E112" i="71" s="1"/>
  <c r="G111" i="71"/>
  <c r="F111" i="71"/>
  <c r="E111" i="71" s="1"/>
  <c r="G110" i="71"/>
  <c r="F110" i="71" s="1"/>
  <c r="E110" i="71" s="1"/>
  <c r="G109" i="71"/>
  <c r="F109" i="71"/>
  <c r="E109" i="71" s="1"/>
  <c r="G108" i="71"/>
  <c r="F108" i="71" s="1"/>
  <c r="E108" i="71" s="1"/>
  <c r="G107" i="71"/>
  <c r="F107" i="71"/>
  <c r="E107" i="71" s="1"/>
  <c r="G106" i="71"/>
  <c r="F106" i="71" s="1"/>
  <c r="E106" i="71" s="1"/>
  <c r="G105" i="71"/>
  <c r="F105" i="71"/>
  <c r="E105" i="71" s="1"/>
  <c r="G104" i="71"/>
  <c r="F104" i="71" s="1"/>
  <c r="E104" i="71" s="1"/>
  <c r="G103" i="71"/>
  <c r="F103" i="71"/>
  <c r="E103" i="71" s="1"/>
  <c r="G102" i="71"/>
  <c r="F102" i="71" s="1"/>
  <c r="E102" i="71" s="1"/>
  <c r="G101" i="71"/>
  <c r="F101" i="71"/>
  <c r="E101" i="71" s="1"/>
  <c r="G100" i="71"/>
  <c r="F100" i="71" s="1"/>
  <c r="E100" i="71" s="1"/>
  <c r="G99" i="71"/>
  <c r="F99" i="71"/>
  <c r="E99" i="71" s="1"/>
  <c r="G98" i="71"/>
  <c r="F98" i="71" s="1"/>
  <c r="E98" i="71" s="1"/>
  <c r="G97" i="71"/>
  <c r="F97" i="71"/>
  <c r="E97" i="71" s="1"/>
  <c r="G96" i="71"/>
  <c r="F96" i="71" s="1"/>
  <c r="E96" i="71" s="1"/>
  <c r="G95" i="71"/>
  <c r="F95" i="71"/>
  <c r="E95" i="71" s="1"/>
  <c r="G94" i="71"/>
  <c r="F94" i="71" s="1"/>
  <c r="E94" i="71" s="1"/>
  <c r="F93" i="71"/>
  <c r="E93" i="71"/>
  <c r="K92" i="71"/>
  <c r="I92" i="71"/>
  <c r="G92" i="71" s="1"/>
  <c r="F92" i="71" s="1"/>
  <c r="E92" i="71" s="1"/>
  <c r="H92" i="71"/>
  <c r="G91" i="71"/>
  <c r="F91" i="71"/>
  <c r="E91" i="71" s="1"/>
  <c r="G90" i="71"/>
  <c r="F90" i="71" s="1"/>
  <c r="E90" i="71" s="1"/>
  <c r="G89" i="71"/>
  <c r="F89" i="71"/>
  <c r="E89" i="71" s="1"/>
  <c r="G88" i="71"/>
  <c r="F88" i="71" s="1"/>
  <c r="E88" i="71" s="1"/>
  <c r="G87" i="71"/>
  <c r="F87" i="71"/>
  <c r="E87" i="71" s="1"/>
  <c r="G86" i="71"/>
  <c r="F86" i="71" s="1"/>
  <c r="E86" i="71" s="1"/>
  <c r="G85" i="71"/>
  <c r="F85" i="71"/>
  <c r="E85" i="71" s="1"/>
  <c r="G84" i="71"/>
  <c r="F84" i="71" s="1"/>
  <c r="E84" i="71" s="1"/>
  <c r="G83" i="71"/>
  <c r="F83" i="71"/>
  <c r="E83" i="71" s="1"/>
  <c r="G82" i="71"/>
  <c r="F82" i="71" s="1"/>
  <c r="E82" i="71"/>
  <c r="G81" i="71"/>
  <c r="F81" i="71"/>
  <c r="E81" i="71" s="1"/>
  <c r="G80" i="71"/>
  <c r="F80" i="71" s="1"/>
  <c r="E80" i="71"/>
  <c r="G79" i="71"/>
  <c r="F79" i="71"/>
  <c r="E79" i="71" s="1"/>
  <c r="G78" i="71"/>
  <c r="F78" i="71" s="1"/>
  <c r="E78" i="71"/>
  <c r="G77" i="71"/>
  <c r="F77" i="71"/>
  <c r="E77" i="71" s="1"/>
  <c r="G76" i="71"/>
  <c r="F76" i="71" s="1"/>
  <c r="E76" i="71"/>
  <c r="G75" i="71"/>
  <c r="F75" i="71"/>
  <c r="E75" i="71" s="1"/>
  <c r="G74" i="71"/>
  <c r="F74" i="71" s="1"/>
  <c r="E74" i="71"/>
  <c r="F73" i="71"/>
  <c r="E73" i="71"/>
  <c r="K72" i="71"/>
  <c r="I72" i="71"/>
  <c r="H72" i="71"/>
  <c r="G72" i="71"/>
  <c r="F72" i="71" s="1"/>
  <c r="E72" i="71" s="1"/>
  <c r="I71" i="71"/>
  <c r="G70" i="71"/>
  <c r="F70" i="71"/>
  <c r="E70" i="71" s="1"/>
  <c r="G69" i="71"/>
  <c r="F69" i="71" s="1"/>
  <c r="E69" i="71"/>
  <c r="F68" i="71"/>
  <c r="E68" i="71"/>
  <c r="K67" i="71"/>
  <c r="I67" i="71"/>
  <c r="I66" i="71" s="1"/>
  <c r="H67" i="71"/>
  <c r="K66" i="71"/>
  <c r="K133" i="71" s="1"/>
  <c r="H66" i="71"/>
  <c r="G65" i="71"/>
  <c r="F65" i="71"/>
  <c r="E65" i="71" s="1"/>
  <c r="G64" i="71"/>
  <c r="F64" i="71" s="1"/>
  <c r="E64" i="71"/>
  <c r="I63" i="71"/>
  <c r="H63" i="71"/>
  <c r="G63" i="71" s="1"/>
  <c r="F63" i="71"/>
  <c r="E63" i="71" s="1"/>
  <c r="G62" i="71"/>
  <c r="F62" i="71" s="1"/>
  <c r="E62" i="71" s="1"/>
  <c r="E60" i="71" s="1"/>
  <c r="E61" i="71"/>
  <c r="L60" i="71"/>
  <c r="I60" i="71"/>
  <c r="G59" i="71"/>
  <c r="F59" i="71" s="1"/>
  <c r="F58" i="71" s="1"/>
  <c r="E59" i="71"/>
  <c r="E58" i="71" s="1"/>
  <c r="I58" i="71"/>
  <c r="G58" i="71"/>
  <c r="G57" i="71"/>
  <c r="F57" i="71"/>
  <c r="E57" i="71" s="1"/>
  <c r="G56" i="71"/>
  <c r="F56" i="71" s="1"/>
  <c r="E56" i="71"/>
  <c r="G55" i="71"/>
  <c r="F55" i="71"/>
  <c r="E55" i="71" s="1"/>
  <c r="G54" i="71"/>
  <c r="F54" i="71" s="1"/>
  <c r="E54" i="71"/>
  <c r="G53" i="71"/>
  <c r="F53" i="71"/>
  <c r="E53" i="71" s="1"/>
  <c r="G52" i="71"/>
  <c r="F52" i="71" s="1"/>
  <c r="E52" i="71"/>
  <c r="G51" i="71"/>
  <c r="F51" i="71"/>
  <c r="E51" i="71" s="1"/>
  <c r="G50" i="71"/>
  <c r="F50" i="71" s="1"/>
  <c r="E50" i="71"/>
  <c r="I49" i="71"/>
  <c r="H49" i="71"/>
  <c r="G49" i="71" s="1"/>
  <c r="F49" i="71"/>
  <c r="E49" i="71" s="1"/>
  <c r="G48" i="71"/>
  <c r="F48" i="71" s="1"/>
  <c r="E48" i="71"/>
  <c r="G47" i="71"/>
  <c r="F47" i="71"/>
  <c r="E47" i="71" s="1"/>
  <c r="G46" i="71"/>
  <c r="F46" i="71" s="1"/>
  <c r="E46" i="71"/>
  <c r="G45" i="71"/>
  <c r="F45" i="71"/>
  <c r="E45" i="71" s="1"/>
  <c r="G44" i="71"/>
  <c r="F44" i="71" s="1"/>
  <c r="E44" i="71"/>
  <c r="I43" i="71"/>
  <c r="H43" i="71"/>
  <c r="G43" i="71" s="1"/>
  <c r="F43" i="71"/>
  <c r="E43" i="71" s="1"/>
  <c r="G42" i="71"/>
  <c r="F42" i="71" s="1"/>
  <c r="E42" i="71" s="1"/>
  <c r="G41" i="71"/>
  <c r="F41" i="71"/>
  <c r="E41" i="71" s="1"/>
  <c r="G40" i="71"/>
  <c r="F40" i="71" s="1"/>
  <c r="E40" i="71" s="1"/>
  <c r="H39" i="71"/>
  <c r="G39" i="71"/>
  <c r="F39" i="71" s="1"/>
  <c r="E39" i="71"/>
  <c r="I38" i="71"/>
  <c r="H38" i="71"/>
  <c r="G38" i="71" s="1"/>
  <c r="F38" i="71"/>
  <c r="E38" i="71" s="1"/>
  <c r="E37" i="71"/>
  <c r="G36" i="71"/>
  <c r="F36" i="71"/>
  <c r="E36" i="71" s="1"/>
  <c r="L35" i="71"/>
  <c r="E35" i="71" s="1"/>
  <c r="I35" i="71"/>
  <c r="G35" i="71"/>
  <c r="F35" i="71" s="1"/>
  <c r="G34" i="71"/>
  <c r="F34" i="71"/>
  <c r="E34" i="71" s="1"/>
  <c r="G33" i="71"/>
  <c r="F33" i="71" s="1"/>
  <c r="E33" i="71"/>
  <c r="G32" i="71"/>
  <c r="F32" i="71"/>
  <c r="E32" i="71" s="1"/>
  <c r="G31" i="71"/>
  <c r="F31" i="71" s="1"/>
  <c r="E31" i="71"/>
  <c r="I30" i="71"/>
  <c r="H30" i="71"/>
  <c r="G30" i="71" s="1"/>
  <c r="F30" i="71" s="1"/>
  <c r="E30" i="71" s="1"/>
  <c r="I29" i="71"/>
  <c r="H29" i="71"/>
  <c r="G29" i="71" s="1"/>
  <c r="F29" i="71" s="1"/>
  <c r="G28" i="71"/>
  <c r="F27" i="71"/>
  <c r="E27" i="71"/>
  <c r="J26" i="71"/>
  <c r="I26" i="71"/>
  <c r="E25" i="71"/>
  <c r="G24" i="71"/>
  <c r="F24" i="71"/>
  <c r="E24" i="71" s="1"/>
  <c r="G23" i="71"/>
  <c r="F23" i="71" s="1"/>
  <c r="E23" i="71" s="1"/>
  <c r="G22" i="71"/>
  <c r="F22" i="71"/>
  <c r="E22" i="71" s="1"/>
  <c r="G21" i="71"/>
  <c r="F21" i="71" s="1"/>
  <c r="E21" i="71" s="1"/>
  <c r="G20" i="71"/>
  <c r="F20" i="71"/>
  <c r="E20" i="71" s="1"/>
  <c r="G19" i="71"/>
  <c r="F19" i="71" s="1"/>
  <c r="E19" i="71" s="1"/>
  <c r="G18" i="71"/>
  <c r="F18" i="71"/>
  <c r="E18" i="71" s="1"/>
  <c r="G17" i="71"/>
  <c r="F17" i="71" s="1"/>
  <c r="E17" i="71" s="1"/>
  <c r="G16" i="71"/>
  <c r="F16" i="71"/>
  <c r="E16" i="71" s="1"/>
  <c r="G15" i="71"/>
  <c r="F15" i="71" s="1"/>
  <c r="E15" i="71" s="1"/>
  <c r="G14" i="71"/>
  <c r="F14" i="71"/>
  <c r="E14" i="71" s="1"/>
  <c r="G13" i="71"/>
  <c r="F13" i="71" s="1"/>
  <c r="E13" i="71" s="1"/>
  <c r="G12" i="71"/>
  <c r="F12" i="71"/>
  <c r="E12" i="71" s="1"/>
  <c r="G11" i="71"/>
  <c r="F11" i="71" s="1"/>
  <c r="E11" i="71" s="1"/>
  <c r="G10" i="71"/>
  <c r="F10" i="71"/>
  <c r="E10" i="71" s="1"/>
  <c r="G9" i="71"/>
  <c r="F9" i="71" s="1"/>
  <c r="E9" i="71" s="1"/>
  <c r="F8" i="71"/>
  <c r="E8" i="71"/>
  <c r="L7" i="71"/>
  <c r="K7" i="71"/>
  <c r="K6" i="71" s="1"/>
  <c r="I7" i="71"/>
  <c r="H7" i="71"/>
  <c r="L6" i="71"/>
  <c r="I6" i="71"/>
  <c r="D165" i="70"/>
  <c r="E47" i="70"/>
  <c r="E45" i="70"/>
  <c r="E42" i="70" s="1"/>
  <c r="E49" i="70" s="1"/>
  <c r="E43" i="70"/>
  <c r="E40" i="70"/>
  <c r="E39" i="70"/>
  <c r="E37" i="70"/>
  <c r="E35" i="70"/>
  <c r="E33" i="70"/>
  <c r="E32" i="70"/>
  <c r="E30" i="70"/>
  <c r="E29" i="70"/>
  <c r="E27" i="70"/>
  <c r="E25" i="70"/>
  <c r="E23" i="70"/>
  <c r="E22" i="70"/>
  <c r="E19" i="70"/>
  <c r="E17" i="70"/>
  <c r="E16" i="70" s="1"/>
  <c r="E14" i="70"/>
  <c r="E12" i="70"/>
  <c r="E11" i="70"/>
  <c r="E8" i="70"/>
  <c r="E7" i="70"/>
  <c r="E29" i="71" l="1"/>
  <c r="I133" i="71"/>
  <c r="G66" i="71"/>
  <c r="L29" i="71"/>
  <c r="F60" i="71"/>
  <c r="G67" i="71"/>
  <c r="F67" i="71" s="1"/>
  <c r="G7" i="71"/>
  <c r="F7" i="71" s="1"/>
  <c r="H6" i="71"/>
  <c r="G6" i="71" s="1"/>
  <c r="L133" i="71"/>
  <c r="F28" i="71"/>
  <c r="G26" i="71"/>
  <c r="H60" i="71"/>
  <c r="G60" i="71" s="1"/>
  <c r="H71" i="71"/>
  <c r="F6" i="71" l="1"/>
  <c r="E7" i="71"/>
  <c r="E6" i="71" s="1"/>
  <c r="H133" i="71"/>
  <c r="G71" i="71"/>
  <c r="F71" i="71" s="1"/>
  <c r="E71" i="71" s="1"/>
  <c r="E28" i="71"/>
  <c r="E26" i="71" s="1"/>
  <c r="F26" i="71"/>
  <c r="F66" i="71"/>
  <c r="E67" i="71"/>
  <c r="F133" i="71" l="1"/>
  <c r="E66" i="71"/>
  <c r="E133" i="71" s="1"/>
  <c r="G133" i="71"/>
  <c r="E287" i="68"/>
  <c r="E293" i="68"/>
  <c r="E292" i="68" s="1"/>
  <c r="F1531" i="67"/>
  <c r="F1131" i="67"/>
  <c r="F801" i="67"/>
  <c r="E91" i="68" l="1"/>
  <c r="J9" i="69" l="1"/>
  <c r="J13" i="69" s="1"/>
  <c r="J10" i="69"/>
  <c r="G19" i="69"/>
  <c r="H19" i="69"/>
  <c r="I19" i="69"/>
  <c r="J19" i="69"/>
  <c r="K19" i="69"/>
  <c r="G20" i="69"/>
  <c r="F20" i="69" s="1"/>
  <c r="F19" i="69" s="1"/>
  <c r="H21" i="69"/>
  <c r="I21" i="69"/>
  <c r="J21" i="69"/>
  <c r="J24" i="69" s="1"/>
  <c r="K21" i="69"/>
  <c r="K24" i="69" s="1"/>
  <c r="G22" i="69"/>
  <c r="F22" i="69" s="1"/>
  <c r="F21" i="69" s="1"/>
  <c r="F24" i="69" s="1"/>
  <c r="G23" i="69"/>
  <c r="F23" i="69" s="1"/>
  <c r="H24" i="69"/>
  <c r="I24" i="69"/>
  <c r="G21" i="69" l="1"/>
  <c r="G24" i="69" s="1"/>
  <c r="E334" i="68"/>
  <c r="E333" i="68"/>
  <c r="E332" i="68"/>
  <c r="E328" i="68"/>
  <c r="E327" i="68"/>
  <c r="E322" i="68"/>
  <c r="E315" i="68"/>
  <c r="E314" i="68" s="1"/>
  <c r="E311" i="68"/>
  <c r="E310" i="68"/>
  <c r="E307" i="68"/>
  <c r="E306" i="68" s="1"/>
  <c r="E302" i="68"/>
  <c r="E301" i="68"/>
  <c r="E298" i="68"/>
  <c r="E297" i="68"/>
  <c r="E289" i="68"/>
  <c r="E288" i="68"/>
  <c r="E280" i="68"/>
  <c r="E279" i="68" s="1"/>
  <c r="E274" i="68" s="1"/>
  <c r="E271" i="68"/>
  <c r="E270" i="68" s="1"/>
  <c r="E265" i="68" s="1"/>
  <c r="E267" i="68"/>
  <c r="E266" i="68"/>
  <c r="E262" i="68"/>
  <c r="E261" i="68" s="1"/>
  <c r="E258" i="68"/>
  <c r="E257" i="68"/>
  <c r="E246" i="68"/>
  <c r="E244" i="68" s="1"/>
  <c r="E243" i="68" s="1"/>
  <c r="E239" i="68"/>
  <c r="E238" i="68"/>
  <c r="E234" i="68"/>
  <c r="E233" i="68"/>
  <c r="E230" i="68"/>
  <c r="E229" i="68"/>
  <c r="E224" i="68" s="1"/>
  <c r="E226" i="68"/>
  <c r="E225" i="68"/>
  <c r="E219" i="68"/>
  <c r="E212" i="68" s="1"/>
  <c r="E213" i="68"/>
  <c r="E207" i="68"/>
  <c r="E204" i="68"/>
  <c r="E203" i="68" s="1"/>
  <c r="E201" i="68"/>
  <c r="E199" i="68"/>
  <c r="E196" i="68"/>
  <c r="E195" i="68" s="1"/>
  <c r="E192" i="68"/>
  <c r="E191" i="68"/>
  <c r="E188" i="68"/>
  <c r="E187" i="68" s="1"/>
  <c r="E185" i="68"/>
  <c r="E183" i="68"/>
  <c r="E180" i="68"/>
  <c r="E179" i="68" s="1"/>
  <c r="E174" i="68"/>
  <c r="E173" i="68"/>
  <c r="E167" i="68" s="1"/>
  <c r="E169" i="68"/>
  <c r="E168" i="68"/>
  <c r="E164" i="68"/>
  <c r="E163" i="68" s="1"/>
  <c r="E162" i="68" s="1"/>
  <c r="E159" i="68"/>
  <c r="E152" i="68"/>
  <c r="E151" i="68" s="1"/>
  <c r="E148" i="68"/>
  <c r="E147" i="68"/>
  <c r="E144" i="68"/>
  <c r="E143" i="68" s="1"/>
  <c r="E139" i="68"/>
  <c r="E138" i="68"/>
  <c r="E132" i="68"/>
  <c r="E131" i="68" s="1"/>
  <c r="E128" i="68"/>
  <c r="E127" i="68"/>
  <c r="E123" i="68"/>
  <c r="E122" i="68"/>
  <c r="E121" i="68"/>
  <c r="E118" i="68"/>
  <c r="E117" i="68" s="1"/>
  <c r="E116" i="68" s="1"/>
  <c r="E114" i="68"/>
  <c r="E112" i="68"/>
  <c r="E111" i="68" s="1"/>
  <c r="E106" i="68"/>
  <c r="E105" i="68"/>
  <c r="E102" i="68"/>
  <c r="E101" i="68" s="1"/>
  <c r="E97" i="68"/>
  <c r="E96" i="68"/>
  <c r="E87" i="68"/>
  <c r="E86" i="68"/>
  <c r="E85" i="68" s="1"/>
  <c r="E80" i="68"/>
  <c r="E79" i="68"/>
  <c r="E75" i="68"/>
  <c r="E340" i="68" s="1"/>
  <c r="E71" i="68"/>
  <c r="E70" i="68" s="1"/>
  <c r="E63" i="68"/>
  <c r="E62" i="68"/>
  <c r="E59" i="68"/>
  <c r="E57" i="68" s="1"/>
  <c r="E56" i="68" s="1"/>
  <c r="E52" i="68"/>
  <c r="E51" i="68" s="1"/>
  <c r="E50" i="68" s="1"/>
  <c r="E46" i="68"/>
  <c r="E45" i="68"/>
  <c r="E44" i="68" s="1"/>
  <c r="E41" i="68"/>
  <c r="E39" i="68"/>
  <c r="E36" i="68"/>
  <c r="E35" i="68" s="1"/>
  <c r="E26" i="68"/>
  <c r="E23" i="68"/>
  <c r="E22" i="68"/>
  <c r="E17" i="68"/>
  <c r="E16" i="68"/>
  <c r="E12" i="68"/>
  <c r="E11" i="68"/>
  <c r="E10" i="68" l="1"/>
  <c r="E95" i="68"/>
  <c r="E178" i="68"/>
  <c r="E305" i="68"/>
  <c r="E55" i="68"/>
  <c r="E126" i="68"/>
  <c r="E339" i="68"/>
  <c r="F340" i="68" s="1"/>
  <c r="E337" i="68" l="1"/>
  <c r="F1659" i="67" l="1"/>
  <c r="F1658" i="67"/>
  <c r="F1656" i="67"/>
  <c r="F1645" i="67"/>
  <c r="F1641" i="67"/>
  <c r="F1637" i="67"/>
  <c r="F1633" i="67"/>
  <c r="F1632" i="67" s="1"/>
  <c r="F1631" i="67" s="1"/>
  <c r="F1630" i="67" s="1"/>
  <c r="F1629" i="67" s="1"/>
  <c r="F1627" i="67"/>
  <c r="F1626" i="67"/>
  <c r="F1625" i="67" s="1"/>
  <c r="F1624" i="67" s="1"/>
  <c r="F1622" i="67"/>
  <c r="F1607" i="67"/>
  <c r="F1600" i="67"/>
  <c r="F1599" i="67"/>
  <c r="F1598" i="67" s="1"/>
  <c r="F1597" i="67" s="1"/>
  <c r="F1596" i="67" s="1"/>
  <c r="F1593" i="67"/>
  <c r="F1588" i="67"/>
  <c r="F1587" i="67"/>
  <c r="F1585" i="67"/>
  <c r="F1584" i="67"/>
  <c r="F1583" i="67" s="1"/>
  <c r="F1578" i="67"/>
  <c r="F1577" i="67" s="1"/>
  <c r="F1576" i="67" s="1"/>
  <c r="F1575" i="67" s="1"/>
  <c r="F1573" i="67"/>
  <c r="F1572" i="67" s="1"/>
  <c r="F1571" i="67" s="1"/>
  <c r="F1569" i="67"/>
  <c r="F1568" i="67"/>
  <c r="F1563" i="67"/>
  <c r="F1562" i="67"/>
  <c r="F1561" i="67" s="1"/>
  <c r="F1558" i="67"/>
  <c r="F1557" i="67" s="1"/>
  <c r="F1556" i="67" s="1"/>
  <c r="F1554" i="67"/>
  <c r="F1553" i="67"/>
  <c r="F1549" i="67"/>
  <c r="F1548" i="67"/>
  <c r="F1547" i="67" s="1"/>
  <c r="F1544" i="67"/>
  <c r="F1543" i="67" s="1"/>
  <c r="F1542" i="67" s="1"/>
  <c r="F1540" i="67"/>
  <c r="F1539" i="67"/>
  <c r="F1535" i="67"/>
  <c r="F1534" i="67"/>
  <c r="F1533" i="67" s="1"/>
  <c r="F1530" i="67"/>
  <c r="F1529" i="67" s="1"/>
  <c r="F1528" i="67" s="1"/>
  <c r="F1525" i="67"/>
  <c r="F1524" i="67"/>
  <c r="F1523" i="67" s="1"/>
  <c r="F1520" i="67"/>
  <c r="F1516" i="67" s="1"/>
  <c r="F1515" i="67" s="1"/>
  <c r="F1517" i="67"/>
  <c r="F1510" i="67"/>
  <c r="F1509" i="67"/>
  <c r="F1508" i="67" s="1"/>
  <c r="F1507" i="67" s="1"/>
  <c r="F1504" i="67"/>
  <c r="F1503" i="67"/>
  <c r="F1502" i="67" s="1"/>
  <c r="F1501" i="67" s="1"/>
  <c r="F1499" i="67"/>
  <c r="F1498" i="67"/>
  <c r="F1497" i="67" s="1"/>
  <c r="F1496" i="67" s="1"/>
  <c r="F1493" i="67"/>
  <c r="F1488" i="67"/>
  <c r="F1487" i="67" s="1"/>
  <c r="F1486" i="67" s="1"/>
  <c r="F1485" i="67" s="1"/>
  <c r="F1483" i="67"/>
  <c r="F1481" i="67"/>
  <c r="F1480" i="67"/>
  <c r="F1479" i="67" s="1"/>
  <c r="F1478" i="67" s="1"/>
  <c r="F1477" i="67" s="1"/>
  <c r="F1474" i="67"/>
  <c r="F1470" i="67"/>
  <c r="F1469" i="67" s="1"/>
  <c r="F1468" i="67" s="1"/>
  <c r="F1467" i="67" s="1"/>
  <c r="F1465" i="67"/>
  <c r="F1449" i="67"/>
  <c r="F1443" i="67"/>
  <c r="F1442" i="67" s="1"/>
  <c r="F1441" i="67" s="1"/>
  <c r="F1440" i="67" s="1"/>
  <c r="F1438" i="67"/>
  <c r="F1437" i="67" s="1"/>
  <c r="F1436" i="67" s="1"/>
  <c r="F1433" i="67"/>
  <c r="F1432" i="67"/>
  <c r="F1431" i="67" s="1"/>
  <c r="F1430" i="67" s="1"/>
  <c r="F1428" i="67"/>
  <c r="F1425" i="67"/>
  <c r="F1408" i="67"/>
  <c r="F1402" i="67"/>
  <c r="F1401" i="67"/>
  <c r="F1400" i="67"/>
  <c r="F1399" i="67" s="1"/>
  <c r="F1397" i="67"/>
  <c r="F1382" i="67"/>
  <c r="F1376" i="67"/>
  <c r="F1375" i="67" s="1"/>
  <c r="F1374" i="67" s="1"/>
  <c r="F1373" i="67" s="1"/>
  <c r="F1372" i="67" s="1"/>
  <c r="F1347" i="67"/>
  <c r="F1346" i="67"/>
  <c r="F1345" i="67"/>
  <c r="F1343" i="67"/>
  <c r="F1334" i="67"/>
  <c r="F1328" i="67"/>
  <c r="F1327" i="67"/>
  <c r="F1326" i="67"/>
  <c r="F1325" i="67" s="1"/>
  <c r="F1324" i="67" s="1"/>
  <c r="F1305" i="67"/>
  <c r="F1302" i="67"/>
  <c r="F1301" i="67" s="1"/>
  <c r="F1300" i="67" s="1"/>
  <c r="F1299" i="67" s="1"/>
  <c r="F1293" i="67"/>
  <c r="F1286" i="67"/>
  <c r="F1285" i="67"/>
  <c r="F1283" i="67"/>
  <c r="F1282" i="67"/>
  <c r="F1281" i="67"/>
  <c r="F1280" i="67"/>
  <c r="F1279" i="67"/>
  <c r="F1278" i="67"/>
  <c r="F1277" i="67"/>
  <c r="F1276" i="67"/>
  <c r="F1273" i="67"/>
  <c r="F1272" i="67"/>
  <c r="F1271" i="67"/>
  <c r="F1270" i="67"/>
  <c r="F1269" i="67"/>
  <c r="F1268" i="67"/>
  <c r="F1267" i="67"/>
  <c r="F1266" i="67"/>
  <c r="F1265" i="67"/>
  <c r="F1264" i="67"/>
  <c r="F1263" i="67"/>
  <c r="F1262" i="67"/>
  <c r="F1261" i="67"/>
  <c r="F1260" i="67"/>
  <c r="F1259" i="67"/>
  <c r="F1258" i="67"/>
  <c r="F1257" i="67"/>
  <c r="F1256" i="67"/>
  <c r="F1255" i="67"/>
  <c r="F1254" i="67"/>
  <c r="F1253" i="67"/>
  <c r="F1252" i="67"/>
  <c r="F1251" i="67" s="1"/>
  <c r="F1247" i="67"/>
  <c r="F1228" i="67"/>
  <c r="F1221" i="67"/>
  <c r="F1220" i="67" s="1"/>
  <c r="F1219" i="67" s="1"/>
  <c r="F1218" i="67" s="1"/>
  <c r="F1214" i="67"/>
  <c r="F1213" i="67" s="1"/>
  <c r="F1212" i="67" s="1"/>
  <c r="F1195" i="67"/>
  <c r="F1191" i="67"/>
  <c r="F1190" i="67" s="1"/>
  <c r="F1189" i="67" s="1"/>
  <c r="F1187" i="67"/>
  <c r="F1186" i="67" s="1"/>
  <c r="F1185" i="67" s="1"/>
  <c r="F1183" i="67"/>
  <c r="F1182" i="67"/>
  <c r="F1181" i="67" s="1"/>
  <c r="F1179" i="67"/>
  <c r="F1176" i="67"/>
  <c r="F1157" i="67"/>
  <c r="F1150" i="67"/>
  <c r="F1149" i="67" s="1"/>
  <c r="F1148" i="67" s="1"/>
  <c r="F1147" i="67" s="1"/>
  <c r="F1145" i="67"/>
  <c r="F1144" i="67" s="1"/>
  <c r="F1143" i="67" s="1"/>
  <c r="F1140" i="67"/>
  <c r="F1139" i="67" s="1"/>
  <c r="F1135" i="67"/>
  <c r="F1128" i="67"/>
  <c r="F1123" i="67"/>
  <c r="F1122" i="67" s="1"/>
  <c r="F1121" i="67" s="1"/>
  <c r="F1120" i="67"/>
  <c r="F1118" i="67"/>
  <c r="F1114" i="67"/>
  <c r="F1113" i="67"/>
  <c r="F1112" i="67"/>
  <c r="F1111" i="67" s="1"/>
  <c r="F1109" i="67"/>
  <c r="F1108" i="67"/>
  <c r="F1107" i="67"/>
  <c r="F1105" i="67"/>
  <c r="F1104" i="67" s="1"/>
  <c r="F1103" i="67" s="1"/>
  <c r="F1102" i="67" s="1"/>
  <c r="F1100" i="67"/>
  <c r="F1099" i="67" s="1"/>
  <c r="F1096" i="67"/>
  <c r="F1093" i="67"/>
  <c r="F1092" i="67" s="1"/>
  <c r="F1091" i="67" s="1"/>
  <c r="F1090" i="67" s="1"/>
  <c r="F1088" i="67"/>
  <c r="F1087" i="67" s="1"/>
  <c r="F1086" i="67" s="1"/>
  <c r="F1084" i="67"/>
  <c r="F1083" i="67"/>
  <c r="F1082" i="67" s="1"/>
  <c r="F1080" i="67"/>
  <c r="F1079" i="67"/>
  <c r="F1076" i="67"/>
  <c r="F1075" i="67" s="1"/>
  <c r="F1072" i="67"/>
  <c r="F1663" i="67" s="1"/>
  <c r="F1071" i="67"/>
  <c r="F1070" i="67" s="1"/>
  <c r="F1068" i="67"/>
  <c r="F1067" i="67"/>
  <c r="F1064" i="67"/>
  <c r="F1063" i="67" s="1"/>
  <c r="F1062" i="67" s="1"/>
  <c r="F1059" i="67"/>
  <c r="F1058" i="67" s="1"/>
  <c r="F1057" i="67" s="1"/>
  <c r="F1056" i="67" s="1"/>
  <c r="F1054" i="67"/>
  <c r="F1050" i="67"/>
  <c r="F1049" i="67" s="1"/>
  <c r="F1048" i="67" s="1"/>
  <c r="F1047" i="67" s="1"/>
  <c r="F1046" i="67" s="1"/>
  <c r="F1044" i="67"/>
  <c r="F1043" i="67"/>
  <c r="F1033" i="67"/>
  <c r="F1028" i="67"/>
  <c r="F1024" i="67"/>
  <c r="F1019" i="67"/>
  <c r="F1013" i="67"/>
  <c r="F1012" i="67" s="1"/>
  <c r="F1011" i="67" s="1"/>
  <c r="F1010" i="67" s="1"/>
  <c r="F1006" i="67"/>
  <c r="F1003" i="67"/>
  <c r="F986" i="67"/>
  <c r="F979" i="67"/>
  <c r="F978" i="67"/>
  <c r="F977" i="67" s="1"/>
  <c r="F976" i="67" s="1"/>
  <c r="F955" i="67"/>
  <c r="F952" i="67"/>
  <c r="F939" i="67"/>
  <c r="F932" i="67"/>
  <c r="F931" i="67"/>
  <c r="F930" i="67"/>
  <c r="F929" i="67" s="1"/>
  <c r="F926" i="67"/>
  <c r="F922" i="67"/>
  <c r="F921" i="67"/>
  <c r="F897" i="67"/>
  <c r="F893" i="67"/>
  <c r="F875" i="67"/>
  <c r="F868" i="67"/>
  <c r="F867" i="67" s="1"/>
  <c r="F866" i="67" s="1"/>
  <c r="F865" i="67" s="1"/>
  <c r="F863" i="67"/>
  <c r="F857" i="67"/>
  <c r="F851" i="67"/>
  <c r="F850" i="67"/>
  <c r="F849" i="67"/>
  <c r="F848" i="67" s="1"/>
  <c r="F846" i="67"/>
  <c r="F840" i="67"/>
  <c r="F834" i="67"/>
  <c r="F833" i="67" s="1"/>
  <c r="F832" i="67" s="1"/>
  <c r="F831" i="67" s="1"/>
  <c r="F829" i="67"/>
  <c r="F817" i="67"/>
  <c r="F810" i="67"/>
  <c r="F809" i="67"/>
  <c r="F808" i="67"/>
  <c r="F807" i="67" s="1"/>
  <c r="F804" i="67"/>
  <c r="F803" i="67"/>
  <c r="F800" i="67"/>
  <c r="F799" i="67" s="1"/>
  <c r="F798" i="67" s="1"/>
  <c r="F797" i="67" s="1"/>
  <c r="F796" i="67" s="1"/>
  <c r="F794" i="67"/>
  <c r="F793" i="67"/>
  <c r="F792" i="67"/>
  <c r="F787" i="67" s="1"/>
  <c r="F790" i="67"/>
  <c r="F789" i="67" s="1"/>
  <c r="F788" i="67" s="1"/>
  <c r="F785" i="67"/>
  <c r="F784" i="67" s="1"/>
  <c r="F783" i="67" s="1"/>
  <c r="F781" i="67"/>
  <c r="F780" i="67" s="1"/>
  <c r="F779" i="67" s="1"/>
  <c r="F777" i="67"/>
  <c r="F776" i="67"/>
  <c r="F773" i="67"/>
  <c r="F772" i="67" s="1"/>
  <c r="F769" i="67"/>
  <c r="F768" i="67" s="1"/>
  <c r="F767" i="67" s="1"/>
  <c r="F764" i="67"/>
  <c r="F763" i="67" s="1"/>
  <c r="F762" i="67" s="1"/>
  <c r="F761" i="67" s="1"/>
  <c r="F760" i="67"/>
  <c r="F753" i="67"/>
  <c r="F752" i="67"/>
  <c r="F745" i="67"/>
  <c r="F744" i="67"/>
  <c r="F739" i="67"/>
  <c r="F737" i="67"/>
  <c r="F736" i="67"/>
  <c r="F734" i="67"/>
  <c r="F727" i="67" s="1"/>
  <c r="F731" i="67"/>
  <c r="F730" i="67"/>
  <c r="F724" i="67"/>
  <c r="F720" i="67"/>
  <c r="F718" i="67"/>
  <c r="F717" i="67"/>
  <c r="F715" i="67"/>
  <c r="F714" i="67"/>
  <c r="F713" i="67"/>
  <c r="F712" i="67"/>
  <c r="F710" i="67"/>
  <c r="F706" i="67"/>
  <c r="F705" i="67" s="1"/>
  <c r="F704" i="67" s="1"/>
  <c r="F703" i="67" s="1"/>
  <c r="F698" i="67"/>
  <c r="F692" i="67"/>
  <c r="F691" i="67"/>
  <c r="F690" i="67"/>
  <c r="F689" i="67" s="1"/>
  <c r="F687" i="67"/>
  <c r="F683" i="67"/>
  <c r="F682" i="67"/>
  <c r="F653" i="67"/>
  <c r="F650" i="67"/>
  <c r="F648" i="67"/>
  <c r="F647" i="67"/>
  <c r="F646" i="67"/>
  <c r="F645" i="67"/>
  <c r="F644" i="67"/>
  <c r="F643" i="67"/>
  <c r="F641" i="67"/>
  <c r="F640" i="67" s="1"/>
  <c r="F634" i="67"/>
  <c r="F629" i="67"/>
  <c r="F628" i="67"/>
  <c r="F627" i="67" s="1"/>
  <c r="F626" i="67" s="1"/>
  <c r="F623" i="67"/>
  <c r="F620" i="67"/>
  <c r="F615" i="67"/>
  <c r="F610" i="67" s="1"/>
  <c r="F609" i="67" s="1"/>
  <c r="F605" i="67"/>
  <c r="F604" i="67"/>
  <c r="F601" i="67"/>
  <c r="F600" i="67"/>
  <c r="F599" i="67"/>
  <c r="F598" i="67"/>
  <c r="F595" i="67"/>
  <c r="F594" i="67"/>
  <c r="F593" i="67"/>
  <c r="F592" i="67"/>
  <c r="F590" i="67"/>
  <c r="F589" i="67"/>
  <c r="F584" i="67"/>
  <c r="F583" i="67"/>
  <c r="F582" i="67"/>
  <c r="F581" i="67"/>
  <c r="F578" i="67"/>
  <c r="F568" i="67" s="1"/>
  <c r="F577" i="67"/>
  <c r="F569" i="67"/>
  <c r="F565" i="67"/>
  <c r="F551" i="67"/>
  <c r="F547" i="67"/>
  <c r="F545" i="67"/>
  <c r="F538" i="67"/>
  <c r="F537" i="67" s="1"/>
  <c r="F536" i="67" s="1"/>
  <c r="F535" i="67" s="1"/>
  <c r="F533" i="67"/>
  <c r="F528" i="67"/>
  <c r="F525" i="67"/>
  <c r="F524" i="67"/>
  <c r="F523" i="67"/>
  <c r="F522" i="67" s="1"/>
  <c r="F519" i="67"/>
  <c r="F513" i="67"/>
  <c r="F512" i="67"/>
  <c r="F511" i="67" s="1"/>
  <c r="F510" i="67" s="1"/>
  <c r="F483" i="67"/>
  <c r="F482" i="67" s="1"/>
  <c r="F481" i="67" s="1"/>
  <c r="F480" i="67" s="1"/>
  <c r="F478" i="67"/>
  <c r="F477" i="67"/>
  <c r="F472" i="67"/>
  <c r="F471" i="67"/>
  <c r="F469" i="67" s="1"/>
  <c r="F468" i="67" s="1"/>
  <c r="F465" i="67"/>
  <c r="F456" i="67"/>
  <c r="F455" i="67" s="1"/>
  <c r="F454" i="67" s="1"/>
  <c r="F450" i="67"/>
  <c r="F449" i="67" s="1"/>
  <c r="F446" i="67"/>
  <c r="F445" i="67"/>
  <c r="F444" i="67" s="1"/>
  <c r="F441" i="67"/>
  <c r="F426" i="67"/>
  <c r="F419" i="67"/>
  <c r="F418" i="67" s="1"/>
  <c r="F417" i="67" s="1"/>
  <c r="F416" i="67" s="1"/>
  <c r="F414" i="67"/>
  <c r="F396" i="67"/>
  <c r="F389" i="67"/>
  <c r="F388" i="67"/>
  <c r="F387" i="67" s="1"/>
  <c r="F386" i="67" s="1"/>
  <c r="F376" i="67"/>
  <c r="F375" i="67" s="1"/>
  <c r="F374" i="67" s="1"/>
  <c r="F373" i="67" s="1"/>
  <c r="F372" i="67" s="1"/>
  <c r="F370" i="67"/>
  <c r="F369" i="67"/>
  <c r="F368" i="67"/>
  <c r="F367" i="67"/>
  <c r="F365" i="67"/>
  <c r="F362" i="67"/>
  <c r="F361" i="67"/>
  <c r="F360" i="67"/>
  <c r="F359" i="67" s="1"/>
  <c r="F358" i="67" s="1"/>
  <c r="F356" i="67"/>
  <c r="F355" i="67"/>
  <c r="F354" i="67" s="1"/>
  <c r="F353" i="67" s="1"/>
  <c r="F351" i="67"/>
  <c r="F350" i="67"/>
  <c r="F349" i="67" s="1"/>
  <c r="F347" i="67"/>
  <c r="F346" i="67"/>
  <c r="F345" i="67"/>
  <c r="F337" i="67"/>
  <c r="F328" i="67"/>
  <c r="F327" i="67"/>
  <c r="F324" i="67"/>
  <c r="F309" i="67"/>
  <c r="F303" i="67"/>
  <c r="F296" i="67"/>
  <c r="F295" i="67"/>
  <c r="F294" i="67" s="1"/>
  <c r="F293" i="67" s="1"/>
  <c r="F291" i="67"/>
  <c r="F290" i="67"/>
  <c r="F289" i="67" s="1"/>
  <c r="F288" i="67" s="1"/>
  <c r="F286" i="67"/>
  <c r="F285" i="67"/>
  <c r="F284" i="67" s="1"/>
  <c r="F282" i="67"/>
  <c r="F281" i="67"/>
  <c r="F280" i="67"/>
  <c r="F279" i="67" s="1"/>
  <c r="F275" i="67"/>
  <c r="F270" i="67"/>
  <c r="F269" i="67"/>
  <c r="F264" i="67"/>
  <c r="F261" i="67"/>
  <c r="F257" i="67"/>
  <c r="F256" i="67"/>
  <c r="F255" i="67" s="1"/>
  <c r="F254" i="67" s="1"/>
  <c r="F253" i="67" s="1"/>
  <c r="F250" i="67"/>
  <c r="F243" i="67" s="1"/>
  <c r="F242" i="67" s="1"/>
  <c r="F244" i="67"/>
  <c r="F241" i="67"/>
  <c r="F240" i="67" s="1"/>
  <c r="F238" i="67"/>
  <c r="F235" i="67"/>
  <c r="F234" i="67"/>
  <c r="F233" i="67" s="1"/>
  <c r="F231" i="67"/>
  <c r="F229" i="67"/>
  <c r="F228" i="67"/>
  <c r="F212" i="67"/>
  <c r="F209" i="67"/>
  <c r="F208" i="67"/>
  <c r="F207" i="67"/>
  <c r="F180" i="67"/>
  <c r="F179" i="67"/>
  <c r="F178" i="67"/>
  <c r="F177" i="67" s="1"/>
  <c r="F175" i="67"/>
  <c r="F171" i="67"/>
  <c r="F169" i="67"/>
  <c r="F163" i="67"/>
  <c r="F157" i="67"/>
  <c r="F156" i="67" s="1"/>
  <c r="F155" i="67" s="1"/>
  <c r="F151" i="67"/>
  <c r="F150" i="67" s="1"/>
  <c r="F146" i="67"/>
  <c r="F142" i="67"/>
  <c r="F141" i="67"/>
  <c r="F140" i="67" s="1"/>
  <c r="F112" i="67"/>
  <c r="F1657" i="67" s="1"/>
  <c r="F111" i="67"/>
  <c r="F110" i="67" s="1"/>
  <c r="F108" i="67"/>
  <c r="F1655" i="67" s="1"/>
  <c r="F107" i="67"/>
  <c r="F106" i="67"/>
  <c r="F104" i="67"/>
  <c r="F101" i="67"/>
  <c r="F100" i="67"/>
  <c r="F97" i="67"/>
  <c r="F83" i="67"/>
  <c r="F77" i="67"/>
  <c r="F76" i="67"/>
  <c r="F75" i="67"/>
  <c r="F74" i="67" s="1"/>
  <c r="F72" i="67"/>
  <c r="F71" i="67"/>
  <c r="F68" i="67"/>
  <c r="F48" i="67"/>
  <c r="F41" i="67"/>
  <c r="F40" i="67"/>
  <c r="F39" i="67"/>
  <c r="F38" i="67" s="1"/>
  <c r="F36" i="67"/>
  <c r="F17" i="67"/>
  <c r="F10" i="67"/>
  <c r="F1653" i="67" l="1"/>
  <c r="F9" i="67"/>
  <c r="F8" i="67" s="1"/>
  <c r="F7" i="67" s="1"/>
  <c r="F139" i="67"/>
  <c r="F206" i="67"/>
  <c r="F385" i="67"/>
  <c r="F443" i="67"/>
  <c r="F453" i="67"/>
  <c r="F452" i="67" s="1"/>
  <c r="F476" i="67"/>
  <c r="F806" i="67"/>
  <c r="F1074" i="67"/>
  <c r="F1127" i="67"/>
  <c r="F1126" i="67" s="1"/>
  <c r="F1125" i="67" s="1"/>
  <c r="F1061" i="67" s="1"/>
  <c r="F1142" i="67"/>
  <c r="F1662" i="67"/>
  <c r="F168" i="67"/>
  <c r="F167" i="67" s="1"/>
  <c r="F166" i="67" s="1"/>
  <c r="F1654" i="67"/>
  <c r="F639" i="67"/>
  <c r="F638" i="67" s="1"/>
  <c r="F637" i="67" s="1"/>
  <c r="F771" i="67"/>
  <c r="F766" i="67" s="1"/>
  <c r="F1211" i="67"/>
  <c r="F1476" i="67"/>
  <c r="F1514" i="67"/>
  <c r="F1661" i="67"/>
  <c r="F1660" i="67" s="1"/>
  <c r="F509" i="67"/>
  <c r="F6" i="67" l="1"/>
  <c r="F1648" i="67" s="1"/>
  <c r="F1652" i="67"/>
  <c r="F1651" i="67" s="1"/>
  <c r="H1660" i="67" s="1"/>
  <c r="F10" i="66" l="1"/>
  <c r="E10" i="66"/>
  <c r="D9" i="66"/>
  <c r="D10" i="66" s="1"/>
  <c r="D8" i="66"/>
  <c r="F31" i="65"/>
  <c r="E31" i="65"/>
  <c r="D30" i="65"/>
  <c r="D29" i="65"/>
  <c r="D28" i="65"/>
  <c r="D27" i="65"/>
  <c r="D31" i="65" s="1"/>
  <c r="D26" i="65"/>
  <c r="D25" i="65"/>
  <c r="D24" i="65"/>
  <c r="F19" i="65"/>
  <c r="E19" i="65"/>
  <c r="D18" i="65"/>
  <c r="D17" i="65"/>
  <c r="D16" i="65"/>
  <c r="D15" i="65"/>
  <c r="D14" i="65"/>
  <c r="D13" i="65"/>
  <c r="D12" i="65"/>
  <c r="D11" i="65"/>
  <c r="D10" i="65"/>
  <c r="D9" i="65"/>
  <c r="D8" i="65"/>
  <c r="D7" i="65"/>
  <c r="D19" i="65" s="1"/>
  <c r="F8" i="64"/>
  <c r="E8" i="64"/>
  <c r="D7" i="64"/>
  <c r="D8" i="64" s="1"/>
  <c r="F8" i="63"/>
  <c r="E8" i="63"/>
  <c r="D7" i="63"/>
  <c r="D8" i="63" s="1"/>
  <c r="F9" i="62"/>
  <c r="E9" i="62"/>
  <c r="D8" i="62"/>
  <c r="D9" i="62" s="1"/>
  <c r="F1448" i="61"/>
  <c r="F1447" i="61"/>
  <c r="J1446" i="61"/>
  <c r="I1446" i="61"/>
  <c r="H1446" i="61"/>
  <c r="G1446" i="61"/>
  <c r="F1445" i="61"/>
  <c r="F1444" i="61"/>
  <c r="F1443" i="61"/>
  <c r="F1441" i="61" s="1"/>
  <c r="F1442" i="61"/>
  <c r="J1441" i="61"/>
  <c r="I1441" i="61"/>
  <c r="H1441" i="61"/>
  <c r="H1434" i="61" s="1"/>
  <c r="H1433" i="61" s="1"/>
  <c r="G1441" i="61"/>
  <c r="F1440" i="61"/>
  <c r="F1439" i="61"/>
  <c r="F1437" i="61" s="1"/>
  <c r="F1438" i="61"/>
  <c r="J1437" i="61"/>
  <c r="I1437" i="61"/>
  <c r="I1434" i="61" s="1"/>
  <c r="I1433" i="61" s="1"/>
  <c r="H1437" i="61"/>
  <c r="G1437" i="61"/>
  <c r="F1436" i="61"/>
  <c r="J1435" i="61"/>
  <c r="J1434" i="61" s="1"/>
  <c r="J1433" i="61" s="1"/>
  <c r="I1435" i="61"/>
  <c r="H1435" i="61"/>
  <c r="G1435" i="61"/>
  <c r="F1435" i="61"/>
  <c r="G1434" i="61"/>
  <c r="G1433" i="61" s="1"/>
  <c r="F1432" i="61"/>
  <c r="F1431" i="61"/>
  <c r="F1430" i="61" s="1"/>
  <c r="J1430" i="61"/>
  <c r="I1430" i="61"/>
  <c r="H1430" i="61"/>
  <c r="G1430" i="61"/>
  <c r="F1429" i="61"/>
  <c r="F1428" i="61"/>
  <c r="F1427" i="61"/>
  <c r="F1426" i="61"/>
  <c r="F1425" i="61"/>
  <c r="F1424" i="61"/>
  <c r="F1423" i="61"/>
  <c r="F1422" i="61"/>
  <c r="F1421" i="61"/>
  <c r="F1420" i="61"/>
  <c r="F1419" i="61"/>
  <c r="F1418" i="61"/>
  <c r="F1417" i="61"/>
  <c r="F1416" i="61"/>
  <c r="F1415" i="61" s="1"/>
  <c r="J1415" i="61"/>
  <c r="J1405" i="61" s="1"/>
  <c r="I1415" i="61"/>
  <c r="H1415" i="61"/>
  <c r="G1415" i="61"/>
  <c r="F1414" i="61"/>
  <c r="F1413" i="61"/>
  <c r="F1412" i="61"/>
  <c r="F1411" i="61"/>
  <c r="F1410" i="61"/>
  <c r="F1409" i="61"/>
  <c r="F1408" i="61"/>
  <c r="F1407" i="61"/>
  <c r="J1406" i="61"/>
  <c r="I1406" i="61"/>
  <c r="H1406" i="61"/>
  <c r="H1405" i="61" s="1"/>
  <c r="H1404" i="61" s="1"/>
  <c r="H1402" i="61" s="1"/>
  <c r="G1406" i="61"/>
  <c r="G1405" i="61" s="1"/>
  <c r="I1405" i="61"/>
  <c r="I1404" i="61" s="1"/>
  <c r="J1404" i="61"/>
  <c r="J1402" i="61" s="1"/>
  <c r="F1401" i="61"/>
  <c r="F1400" i="61"/>
  <c r="J1399" i="61"/>
  <c r="I1399" i="61"/>
  <c r="H1399" i="61"/>
  <c r="G1399" i="61"/>
  <c r="F1399" i="61"/>
  <c r="F1398" i="61"/>
  <c r="F1397" i="61"/>
  <c r="F1396" i="61"/>
  <c r="F1395" i="61"/>
  <c r="F1394" i="61"/>
  <c r="F1393" i="61"/>
  <c r="F1392" i="61"/>
  <c r="F1391" i="61"/>
  <c r="F1390" i="61"/>
  <c r="F1389" i="61"/>
  <c r="F1388" i="61"/>
  <c r="F1387" i="61"/>
  <c r="F1386" i="61"/>
  <c r="F1384" i="61" s="1"/>
  <c r="F1385" i="61"/>
  <c r="J1384" i="61"/>
  <c r="I1384" i="61"/>
  <c r="H1384" i="61"/>
  <c r="H1374" i="61" s="1"/>
  <c r="H1373" i="61" s="1"/>
  <c r="H1371" i="61" s="1"/>
  <c r="G1384" i="61"/>
  <c r="F1383" i="61"/>
  <c r="F1382" i="61"/>
  <c r="F1381" i="61"/>
  <c r="F1380" i="61"/>
  <c r="F1379" i="61"/>
  <c r="F1378" i="61"/>
  <c r="F1375" i="61" s="1"/>
  <c r="F1377" i="61"/>
  <c r="F1376" i="61"/>
  <c r="J1375" i="61"/>
  <c r="I1375" i="61"/>
  <c r="I1374" i="61" s="1"/>
  <c r="I1373" i="61" s="1"/>
  <c r="H1375" i="61"/>
  <c r="G1375" i="61"/>
  <c r="J1374" i="61"/>
  <c r="J1373" i="61" s="1"/>
  <c r="J1371" i="61" s="1"/>
  <c r="G1374" i="61"/>
  <c r="F1374" i="61"/>
  <c r="F1373" i="61" s="1"/>
  <c r="F1371" i="61" s="1"/>
  <c r="G1373" i="61"/>
  <c r="G1371" i="61" s="1"/>
  <c r="I1371" i="61"/>
  <c r="F1370" i="61"/>
  <c r="F1369" i="61"/>
  <c r="F1368" i="61" s="1"/>
  <c r="J1368" i="61"/>
  <c r="I1368" i="61"/>
  <c r="H1368" i="61"/>
  <c r="G1368" i="61"/>
  <c r="F1367" i="61"/>
  <c r="F1366" i="61"/>
  <c r="F1365" i="61"/>
  <c r="F1364" i="61"/>
  <c r="F1363" i="61"/>
  <c r="F1362" i="61"/>
  <c r="F1361" i="61"/>
  <c r="F1360" i="61"/>
  <c r="F1359" i="61"/>
  <c r="F1358" i="61"/>
  <c r="F1357" i="61"/>
  <c r="F1356" i="61"/>
  <c r="F1355" i="61"/>
  <c r="F1354" i="61"/>
  <c r="F1353" i="61" s="1"/>
  <c r="J1353" i="61"/>
  <c r="J1343" i="61" s="1"/>
  <c r="I1353" i="61"/>
  <c r="H1353" i="61"/>
  <c r="G1353" i="61"/>
  <c r="F1352" i="61"/>
  <c r="F1351" i="61"/>
  <c r="F1350" i="61"/>
  <c r="F1349" i="61"/>
  <c r="F1348" i="61"/>
  <c r="F1347" i="61"/>
  <c r="F1346" i="61"/>
  <c r="F1345" i="61"/>
  <c r="J1344" i="61"/>
  <c r="I1344" i="61"/>
  <c r="H1344" i="61"/>
  <c r="H1343" i="61" s="1"/>
  <c r="H1342" i="61" s="1"/>
  <c r="H1340" i="61" s="1"/>
  <c r="G1344" i="61"/>
  <c r="I1343" i="61"/>
  <c r="I1342" i="61" s="1"/>
  <c r="I1340" i="61" s="1"/>
  <c r="J1342" i="61"/>
  <c r="J1340" i="61" s="1"/>
  <c r="F1339" i="61"/>
  <c r="F1338" i="61"/>
  <c r="J1337" i="61"/>
  <c r="I1337" i="61"/>
  <c r="H1337" i="61"/>
  <c r="G1337" i="61"/>
  <c r="F1337" i="61"/>
  <c r="F1336" i="61"/>
  <c r="F1335" i="61"/>
  <c r="F1334" i="61"/>
  <c r="F1333" i="61"/>
  <c r="F1332" i="61"/>
  <c r="F1331" i="61"/>
  <c r="F1330" i="61"/>
  <c r="F1329" i="61"/>
  <c r="F1328" i="61"/>
  <c r="F1327" i="61"/>
  <c r="F1326" i="61"/>
  <c r="F1325" i="61"/>
  <c r="F1324" i="61"/>
  <c r="F1323" i="61"/>
  <c r="J1322" i="61"/>
  <c r="I1322" i="61"/>
  <c r="H1322" i="61"/>
  <c r="H1312" i="61" s="1"/>
  <c r="G1322" i="61"/>
  <c r="F1321" i="61"/>
  <c r="F1320" i="61"/>
  <c r="F1319" i="61"/>
  <c r="F1318" i="61"/>
  <c r="F1317" i="61"/>
  <c r="F1316" i="61"/>
  <c r="F1313" i="61" s="1"/>
  <c r="F1315" i="61"/>
  <c r="F1314" i="61"/>
  <c r="J1313" i="61"/>
  <c r="I1313" i="61"/>
  <c r="I1312" i="61" s="1"/>
  <c r="I1311" i="61" s="1"/>
  <c r="I1309" i="61" s="1"/>
  <c r="H1313" i="61"/>
  <c r="G1313" i="61"/>
  <c r="J1312" i="61"/>
  <c r="J1311" i="61" s="1"/>
  <c r="J1309" i="61" s="1"/>
  <c r="G1312" i="61"/>
  <c r="H1311" i="61"/>
  <c r="G1311" i="61"/>
  <c r="G1309" i="61" s="1"/>
  <c r="H1309" i="61"/>
  <c r="F1308" i="61"/>
  <c r="F1307" i="61"/>
  <c r="F1306" i="61" s="1"/>
  <c r="J1306" i="61"/>
  <c r="I1306" i="61"/>
  <c r="H1306" i="61"/>
  <c r="G1306" i="61"/>
  <c r="F1305" i="61"/>
  <c r="F1304" i="61"/>
  <c r="F1303" i="61"/>
  <c r="F1302" i="61"/>
  <c r="F1301" i="61"/>
  <c r="F1300" i="61"/>
  <c r="F1299" i="61"/>
  <c r="F1298" i="61"/>
  <c r="F1297" i="61"/>
  <c r="F1296" i="61"/>
  <c r="F1295" i="61"/>
  <c r="F1294" i="61"/>
  <c r="F1293" i="61"/>
  <c r="F1292" i="61"/>
  <c r="J1291" i="61"/>
  <c r="J1281" i="61" s="1"/>
  <c r="I1291" i="61"/>
  <c r="H1291" i="61"/>
  <c r="G1291" i="61"/>
  <c r="F1291" i="61"/>
  <c r="F1290" i="61"/>
  <c r="F1289" i="61"/>
  <c r="F1288" i="61"/>
  <c r="F1287" i="61"/>
  <c r="F1286" i="61"/>
  <c r="F1285" i="61"/>
  <c r="F1284" i="61"/>
  <c r="F1283" i="61"/>
  <c r="F1282" i="61" s="1"/>
  <c r="F1281" i="61" s="1"/>
  <c r="J1282" i="61"/>
  <c r="I1282" i="61"/>
  <c r="H1282" i="61"/>
  <c r="H1281" i="61" s="1"/>
  <c r="H1280" i="61" s="1"/>
  <c r="H1278" i="61" s="1"/>
  <c r="G1282" i="61"/>
  <c r="G1281" i="61" s="1"/>
  <c r="I1281" i="61"/>
  <c r="I1280" i="61" s="1"/>
  <c r="I1278" i="61" s="1"/>
  <c r="J1280" i="61"/>
  <c r="J1278" i="61" s="1"/>
  <c r="F1280" i="61"/>
  <c r="F1278" i="61" s="1"/>
  <c r="F1277" i="61"/>
  <c r="F1276" i="61"/>
  <c r="J1275" i="61"/>
  <c r="I1275" i="61"/>
  <c r="H1275" i="61"/>
  <c r="G1275" i="61"/>
  <c r="F1275" i="61"/>
  <c r="F1274" i="61"/>
  <c r="F1273" i="61"/>
  <c r="F1272" i="61"/>
  <c r="F1271" i="61"/>
  <c r="F1270" i="61"/>
  <c r="F1269" i="61"/>
  <c r="F1268" i="61"/>
  <c r="F1267" i="61"/>
  <c r="F1266" i="61"/>
  <c r="F1265" i="61"/>
  <c r="F1264" i="61"/>
  <c r="F1263" i="61"/>
  <c r="F1262" i="61"/>
  <c r="F1260" i="61" s="1"/>
  <c r="F1261" i="61"/>
  <c r="J1260" i="61"/>
  <c r="I1260" i="61"/>
  <c r="H1260" i="61"/>
  <c r="H1250" i="61" s="1"/>
  <c r="H1249" i="61" s="1"/>
  <c r="H1247" i="61" s="1"/>
  <c r="G1260" i="61"/>
  <c r="F1259" i="61"/>
  <c r="F1258" i="61"/>
  <c r="F1257" i="61"/>
  <c r="F1256" i="61"/>
  <c r="F1255" i="61"/>
  <c r="F1254" i="61"/>
  <c r="F1251" i="61" s="1"/>
  <c r="F1253" i="61"/>
  <c r="F1252" i="61"/>
  <c r="J1251" i="61"/>
  <c r="I1251" i="61"/>
  <c r="I1250" i="61" s="1"/>
  <c r="I1249" i="61" s="1"/>
  <c r="H1251" i="61"/>
  <c r="G1251" i="61"/>
  <c r="J1250" i="61"/>
  <c r="J1249" i="61" s="1"/>
  <c r="J1247" i="61" s="1"/>
  <c r="G1250" i="61"/>
  <c r="F1250" i="61"/>
  <c r="F1249" i="61" s="1"/>
  <c r="F1247" i="61" s="1"/>
  <c r="G1249" i="61"/>
  <c r="G1247" i="61" s="1"/>
  <c r="I1247" i="61"/>
  <c r="F1246" i="61"/>
  <c r="F1245" i="61"/>
  <c r="F1244" i="61" s="1"/>
  <c r="J1244" i="61"/>
  <c r="I1244" i="61"/>
  <c r="H1244" i="61"/>
  <c r="G1244" i="61"/>
  <c r="F1243" i="61"/>
  <c r="F1242" i="61"/>
  <c r="F1241" i="61"/>
  <c r="F1240" i="61"/>
  <c r="F1239" i="61"/>
  <c r="F1238" i="61"/>
  <c r="F1237" i="61"/>
  <c r="F1236" i="61"/>
  <c r="F1235" i="61"/>
  <c r="F1234" i="61"/>
  <c r="F1233" i="61"/>
  <c r="F1232" i="61"/>
  <c r="F1231" i="61"/>
  <c r="F1230" i="61"/>
  <c r="F1229" i="61" s="1"/>
  <c r="J1229" i="61"/>
  <c r="J1219" i="61" s="1"/>
  <c r="I1229" i="61"/>
  <c r="H1229" i="61"/>
  <c r="G1229" i="61"/>
  <c r="F1228" i="61"/>
  <c r="F1227" i="61"/>
  <c r="F1226" i="61"/>
  <c r="F1225" i="61"/>
  <c r="F1224" i="61"/>
  <c r="F1223" i="61"/>
  <c r="F1222" i="61"/>
  <c r="F1221" i="61"/>
  <c r="J1220" i="61"/>
  <c r="I1220" i="61"/>
  <c r="H1220" i="61"/>
  <c r="H1219" i="61" s="1"/>
  <c r="H1218" i="61" s="1"/>
  <c r="H1216" i="61" s="1"/>
  <c r="G1220" i="61"/>
  <c r="I1219" i="61"/>
  <c r="I1218" i="61" s="1"/>
  <c r="I1216" i="61" s="1"/>
  <c r="J1218" i="61"/>
  <c r="J1216" i="61" s="1"/>
  <c r="F1215" i="61"/>
  <c r="F1214" i="61"/>
  <c r="J1213" i="61"/>
  <c r="I1213" i="61"/>
  <c r="H1213" i="61"/>
  <c r="G1213" i="61"/>
  <c r="F1213" i="61"/>
  <c r="F1212" i="61"/>
  <c r="F1211" i="61"/>
  <c r="F1210" i="61"/>
  <c r="F1209" i="61"/>
  <c r="F1208" i="61"/>
  <c r="F1207" i="61"/>
  <c r="F1206" i="61"/>
  <c r="F1205" i="61"/>
  <c r="F1204" i="61"/>
  <c r="F1203" i="61"/>
  <c r="F1202" i="61"/>
  <c r="F1201" i="61"/>
  <c r="F1200" i="61" s="1"/>
  <c r="J1200" i="61"/>
  <c r="I1200" i="61"/>
  <c r="H1200" i="61"/>
  <c r="G1200" i="61"/>
  <c r="G1189" i="61" s="1"/>
  <c r="G1188" i="61" s="1"/>
  <c r="G1186" i="61" s="1"/>
  <c r="F1199" i="61"/>
  <c r="F1198" i="61"/>
  <c r="F1197" i="61"/>
  <c r="F1196" i="61"/>
  <c r="F1195" i="61"/>
  <c r="F1194" i="61"/>
  <c r="J1193" i="61"/>
  <c r="J1189" i="61" s="1"/>
  <c r="J1188" i="61" s="1"/>
  <c r="J1186" i="61" s="1"/>
  <c r="I1193" i="61"/>
  <c r="H1193" i="61"/>
  <c r="G1193" i="61"/>
  <c r="F1193" i="61"/>
  <c r="F1192" i="61"/>
  <c r="F1191" i="61"/>
  <c r="F1190" i="61" s="1"/>
  <c r="J1190" i="61"/>
  <c r="I1190" i="61"/>
  <c r="I1189" i="61" s="1"/>
  <c r="I1188" i="61" s="1"/>
  <c r="I1186" i="61" s="1"/>
  <c r="H1190" i="61"/>
  <c r="H1189" i="61" s="1"/>
  <c r="H1188" i="61" s="1"/>
  <c r="G1190" i="61"/>
  <c r="H1186" i="61"/>
  <c r="F1185" i="61"/>
  <c r="F1184" i="61"/>
  <c r="F1183" i="61" s="1"/>
  <c r="J1183" i="61"/>
  <c r="I1183" i="61"/>
  <c r="H1183" i="61"/>
  <c r="G1183" i="61"/>
  <c r="F1182" i="61"/>
  <c r="F1181" i="61"/>
  <c r="F1180" i="61"/>
  <c r="F1179" i="61"/>
  <c r="J1178" i="61"/>
  <c r="I1178" i="61"/>
  <c r="H1178" i="61"/>
  <c r="H1174" i="61" s="1"/>
  <c r="H1173" i="61" s="1"/>
  <c r="H1171" i="61" s="1"/>
  <c r="G1178" i="61"/>
  <c r="G1174" i="61" s="1"/>
  <c r="G1173" i="61" s="1"/>
  <c r="G1171" i="61" s="1"/>
  <c r="F1177" i="61"/>
  <c r="F1176" i="61"/>
  <c r="J1175" i="61"/>
  <c r="J1174" i="61" s="1"/>
  <c r="J1173" i="61" s="1"/>
  <c r="J1171" i="61" s="1"/>
  <c r="I1175" i="61"/>
  <c r="H1175" i="61"/>
  <c r="G1175" i="61"/>
  <c r="F1175" i="61"/>
  <c r="I1174" i="61"/>
  <c r="I1173" i="61"/>
  <c r="I1171" i="61" s="1"/>
  <c r="F1170" i="61"/>
  <c r="F1168" i="61" s="1"/>
  <c r="F1169" i="61"/>
  <c r="J1168" i="61"/>
  <c r="I1168" i="61"/>
  <c r="H1168" i="61"/>
  <c r="G1168" i="61"/>
  <c r="F1167" i="61"/>
  <c r="F1166" i="61"/>
  <c r="F1165" i="61"/>
  <c r="F1164" i="61"/>
  <c r="F1163" i="61"/>
  <c r="F1162" i="61"/>
  <c r="F1161" i="61" s="1"/>
  <c r="J1161" i="61"/>
  <c r="I1161" i="61"/>
  <c r="H1161" i="61"/>
  <c r="H1150" i="61" s="1"/>
  <c r="G1161" i="61"/>
  <c r="F1160" i="61"/>
  <c r="F1159" i="61"/>
  <c r="F1158" i="61"/>
  <c r="F1157" i="61"/>
  <c r="F1156" i="61"/>
  <c r="F1155" i="61"/>
  <c r="F1154" i="61"/>
  <c r="F1151" i="61" s="1"/>
  <c r="F1150" i="61" s="1"/>
  <c r="F1149" i="61" s="1"/>
  <c r="F1147" i="61" s="1"/>
  <c r="F1153" i="61"/>
  <c r="F1152" i="61"/>
  <c r="J1151" i="61"/>
  <c r="I1151" i="61"/>
  <c r="I1150" i="61" s="1"/>
  <c r="H1151" i="61"/>
  <c r="G1151" i="61"/>
  <c r="J1150" i="61"/>
  <c r="J1149" i="61" s="1"/>
  <c r="J1147" i="61" s="1"/>
  <c r="G1150" i="61"/>
  <c r="G1149" i="61" s="1"/>
  <c r="G1147" i="61" s="1"/>
  <c r="H1149" i="61"/>
  <c r="H1147" i="61" s="1"/>
  <c r="F1146" i="61"/>
  <c r="F1145" i="61"/>
  <c r="F1144" i="61" s="1"/>
  <c r="J1144" i="61"/>
  <c r="I1144" i="61"/>
  <c r="H1144" i="61"/>
  <c r="G1144" i="61"/>
  <c r="F1143" i="61"/>
  <c r="F1142" i="61"/>
  <c r="F1141" i="61"/>
  <c r="F1140" i="61"/>
  <c r="F1139" i="61"/>
  <c r="F1138" i="61"/>
  <c r="F1137" i="61"/>
  <c r="F1136" i="61"/>
  <c r="F1135" i="61"/>
  <c r="F1134" i="61"/>
  <c r="F1133" i="61"/>
  <c r="F1132" i="61"/>
  <c r="F1131" i="61"/>
  <c r="F1130" i="61"/>
  <c r="F1129" i="61"/>
  <c r="F1128" i="61"/>
  <c r="F1127" i="61"/>
  <c r="F1126" i="61"/>
  <c r="F1125" i="61"/>
  <c r="F1123" i="61" s="1"/>
  <c r="F1124" i="61"/>
  <c r="J1123" i="61"/>
  <c r="I1123" i="61"/>
  <c r="I1108" i="61" s="1"/>
  <c r="H1123" i="61"/>
  <c r="G1123" i="61"/>
  <c r="F1122" i="61"/>
  <c r="F1121" i="61"/>
  <c r="F1120" i="61"/>
  <c r="F1119" i="61"/>
  <c r="F1118" i="61"/>
  <c r="F1117" i="61"/>
  <c r="F1116" i="61"/>
  <c r="F1115" i="61"/>
  <c r="F1114" i="61"/>
  <c r="F1113" i="61"/>
  <c r="J1112" i="61"/>
  <c r="I1112" i="61"/>
  <c r="H1112" i="61"/>
  <c r="H1108" i="61" s="1"/>
  <c r="H1107" i="61" s="1"/>
  <c r="G1112" i="61"/>
  <c r="F1111" i="61"/>
  <c r="F1110" i="61"/>
  <c r="J1109" i="61"/>
  <c r="J1108" i="61" s="1"/>
  <c r="J1107" i="61" s="1"/>
  <c r="I1109" i="61"/>
  <c r="H1109" i="61"/>
  <c r="G1109" i="61"/>
  <c r="G1108" i="61" s="1"/>
  <c r="G1107" i="61" s="1"/>
  <c r="F1109" i="61"/>
  <c r="I1107" i="61"/>
  <c r="F1106" i="61"/>
  <c r="F1105" i="61"/>
  <c r="J1104" i="61"/>
  <c r="I1104" i="61"/>
  <c r="H1104" i="61"/>
  <c r="G1104" i="61"/>
  <c r="F1103" i="61"/>
  <c r="F1102" i="61"/>
  <c r="F1101" i="61"/>
  <c r="F1100" i="61"/>
  <c r="F1099" i="61"/>
  <c r="F1098" i="61"/>
  <c r="F1097" i="61"/>
  <c r="F1096" i="61"/>
  <c r="F1095" i="61"/>
  <c r="F1094" i="61"/>
  <c r="F1093" i="61"/>
  <c r="F1092" i="61"/>
  <c r="F1091" i="61"/>
  <c r="F1090" i="61"/>
  <c r="F1089" i="61"/>
  <c r="F1088" i="61"/>
  <c r="F1087" i="61"/>
  <c r="F1086" i="61"/>
  <c r="F1085" i="61"/>
  <c r="F1084" i="61"/>
  <c r="F1083" i="61"/>
  <c r="F1082" i="61"/>
  <c r="F1081" i="61" s="1"/>
  <c r="J1081" i="61"/>
  <c r="I1081" i="61"/>
  <c r="H1081" i="61"/>
  <c r="G1081" i="61"/>
  <c r="G1066" i="61" s="1"/>
  <c r="G1065" i="61" s="1"/>
  <c r="F1080" i="61"/>
  <c r="F1079" i="61"/>
  <c r="F1078" i="61"/>
  <c r="F1077" i="61"/>
  <c r="F1076" i="61"/>
  <c r="F1075" i="61"/>
  <c r="F1074" i="61"/>
  <c r="F1073" i="61"/>
  <c r="F1072" i="61"/>
  <c r="F1071" i="61"/>
  <c r="J1070" i="61"/>
  <c r="J1066" i="61" s="1"/>
  <c r="J1065" i="61" s="1"/>
  <c r="I1070" i="61"/>
  <c r="H1070" i="61"/>
  <c r="G1070" i="61"/>
  <c r="F1070" i="61"/>
  <c r="F1066" i="61" s="1"/>
  <c r="F1069" i="61"/>
  <c r="F1067" i="61" s="1"/>
  <c r="F1068" i="61"/>
  <c r="J1067" i="61"/>
  <c r="I1067" i="61"/>
  <c r="H1067" i="61"/>
  <c r="H1066" i="61" s="1"/>
  <c r="H1065" i="61" s="1"/>
  <c r="G1067" i="61"/>
  <c r="I1066" i="61"/>
  <c r="I1065" i="61" s="1"/>
  <c r="F1064" i="61"/>
  <c r="F1063" i="61"/>
  <c r="F1062" i="61"/>
  <c r="J1061" i="61"/>
  <c r="I1061" i="61"/>
  <c r="H1061" i="61"/>
  <c r="G1061" i="61"/>
  <c r="F1061" i="61"/>
  <c r="F1060" i="61"/>
  <c r="F1059" i="61"/>
  <c r="J1058" i="61"/>
  <c r="J1054" i="61" s="1"/>
  <c r="J1053" i="61" s="1"/>
  <c r="I1058" i="61"/>
  <c r="I1054" i="61" s="1"/>
  <c r="I1053" i="61" s="1"/>
  <c r="H1058" i="61"/>
  <c r="G1058" i="61"/>
  <c r="F1058" i="61"/>
  <c r="F1057" i="61"/>
  <c r="F1055" i="61" s="1"/>
  <c r="F1054" i="61" s="1"/>
  <c r="F1056" i="61"/>
  <c r="J1055" i="61"/>
  <c r="I1055" i="61"/>
  <c r="H1055" i="61"/>
  <c r="H1054" i="61" s="1"/>
  <c r="H1053" i="61" s="1"/>
  <c r="G1055" i="61"/>
  <c r="G1054" i="61"/>
  <c r="G1053" i="61"/>
  <c r="F1053" i="61"/>
  <c r="F1052" i="61"/>
  <c r="F1051" i="61"/>
  <c r="J1050" i="61"/>
  <c r="I1050" i="61"/>
  <c r="H1050" i="61"/>
  <c r="G1050" i="61"/>
  <c r="F1050" i="61"/>
  <c r="F1049" i="61"/>
  <c r="F1048" i="61"/>
  <c r="F1047" i="61"/>
  <c r="F1046" i="61"/>
  <c r="F1045" i="61"/>
  <c r="F1044" i="61"/>
  <c r="F1043" i="61"/>
  <c r="F1042" i="61"/>
  <c r="F1041" i="61"/>
  <c r="F1040" i="61"/>
  <c r="F1039" i="61"/>
  <c r="F1038" i="61"/>
  <c r="J1037" i="61"/>
  <c r="I1037" i="61"/>
  <c r="H1037" i="61"/>
  <c r="G1037" i="61"/>
  <c r="G1025" i="61" s="1"/>
  <c r="G1024" i="61" s="1"/>
  <c r="F1037" i="61"/>
  <c r="F1036" i="61"/>
  <c r="F1035" i="61"/>
  <c r="F1034" i="61"/>
  <c r="F1033" i="61"/>
  <c r="F1030" i="61" s="1"/>
  <c r="F1032" i="61"/>
  <c r="F1031" i="61"/>
  <c r="J1030" i="61"/>
  <c r="I1030" i="61"/>
  <c r="H1030" i="61"/>
  <c r="G1030" i="61"/>
  <c r="F1029" i="61"/>
  <c r="F1026" i="61" s="1"/>
  <c r="F1028" i="61"/>
  <c r="F1027" i="61"/>
  <c r="J1026" i="61"/>
  <c r="I1026" i="61"/>
  <c r="H1026" i="61"/>
  <c r="G1026" i="61"/>
  <c r="J1025" i="61"/>
  <c r="J1024" i="61" s="1"/>
  <c r="H1025" i="61"/>
  <c r="H1024" i="61"/>
  <c r="F1023" i="61"/>
  <c r="F1022" i="61"/>
  <c r="J1021" i="61"/>
  <c r="I1021" i="61"/>
  <c r="H1021" i="61"/>
  <c r="G1021" i="61"/>
  <c r="G1009" i="61" s="1"/>
  <c r="F1021" i="61"/>
  <c r="F1020" i="61"/>
  <c r="F1019" i="61"/>
  <c r="F1018" i="61"/>
  <c r="F1017" i="61"/>
  <c r="F1016" i="61"/>
  <c r="F1015" i="61"/>
  <c r="F1014" i="61"/>
  <c r="F1013" i="61"/>
  <c r="F1010" i="61" s="1"/>
  <c r="F1009" i="61" s="1"/>
  <c r="F1012" i="61"/>
  <c r="F1011" i="61"/>
  <c r="J1010" i="61"/>
  <c r="I1010" i="61"/>
  <c r="I1009" i="61" s="1"/>
  <c r="H1010" i="61"/>
  <c r="G1010" i="61"/>
  <c r="J1009" i="61"/>
  <c r="H1009" i="61"/>
  <c r="F1008" i="61"/>
  <c r="F1007" i="61"/>
  <c r="J1006" i="61"/>
  <c r="I1006" i="61"/>
  <c r="H1006" i="61"/>
  <c r="G1006" i="61"/>
  <c r="F1006" i="61"/>
  <c r="F1005" i="61"/>
  <c r="I1004" i="61"/>
  <c r="F1004" i="61" s="1"/>
  <c r="F1002" i="61" s="1"/>
  <c r="F1001" i="61" s="1"/>
  <c r="F1003" i="61"/>
  <c r="J1002" i="61"/>
  <c r="J1001" i="61" s="1"/>
  <c r="I1002" i="61"/>
  <c r="I1001" i="61" s="1"/>
  <c r="H1002" i="61"/>
  <c r="G1002" i="61"/>
  <c r="H1001" i="61"/>
  <c r="G1001" i="61"/>
  <c r="F998" i="61"/>
  <c r="F997" i="61"/>
  <c r="F996" i="61" s="1"/>
  <c r="J996" i="61"/>
  <c r="I996" i="61"/>
  <c r="H996" i="61"/>
  <c r="G996" i="61"/>
  <c r="F995" i="61"/>
  <c r="F994" i="61"/>
  <c r="J993" i="61"/>
  <c r="I993" i="61"/>
  <c r="H993" i="61"/>
  <c r="G993" i="61"/>
  <c r="F993" i="61"/>
  <c r="F989" i="61" s="1"/>
  <c r="F988" i="61" s="1"/>
  <c r="F992" i="61"/>
  <c r="F991" i="61"/>
  <c r="J990" i="61"/>
  <c r="I990" i="61"/>
  <c r="I989" i="61" s="1"/>
  <c r="I988" i="61" s="1"/>
  <c r="H990" i="61"/>
  <c r="G990" i="61"/>
  <c r="F990" i="61"/>
  <c r="J989" i="61"/>
  <c r="J988" i="61" s="1"/>
  <c r="H989" i="61"/>
  <c r="G989" i="61"/>
  <c r="H988" i="61"/>
  <c r="G988" i="61"/>
  <c r="F987" i="61"/>
  <c r="F986" i="61"/>
  <c r="J985" i="61"/>
  <c r="I985" i="61"/>
  <c r="H985" i="61"/>
  <c r="G985" i="61"/>
  <c r="F985" i="61"/>
  <c r="F984" i="61"/>
  <c r="F983" i="61"/>
  <c r="J982" i="61"/>
  <c r="J978" i="61" s="1"/>
  <c r="J977" i="61" s="1"/>
  <c r="I982" i="61"/>
  <c r="I978" i="61" s="1"/>
  <c r="I977" i="61" s="1"/>
  <c r="H982" i="61"/>
  <c r="G982" i="61"/>
  <c r="F982" i="61"/>
  <c r="F981" i="61"/>
  <c r="F979" i="61" s="1"/>
  <c r="F980" i="61"/>
  <c r="J979" i="61"/>
  <c r="I979" i="61"/>
  <c r="H979" i="61"/>
  <c r="H978" i="61" s="1"/>
  <c r="H977" i="61" s="1"/>
  <c r="G979" i="61"/>
  <c r="G978" i="61"/>
  <c r="F978" i="61"/>
  <c r="F977" i="61" s="1"/>
  <c r="G977" i="61"/>
  <c r="F976" i="61"/>
  <c r="F975" i="61"/>
  <c r="J974" i="61"/>
  <c r="I974" i="61"/>
  <c r="H974" i="61"/>
  <c r="G974" i="61"/>
  <c r="F974" i="61"/>
  <c r="F973" i="61"/>
  <c r="F971" i="61" s="1"/>
  <c r="F972" i="61"/>
  <c r="J971" i="61"/>
  <c r="I971" i="61"/>
  <c r="H971" i="61"/>
  <c r="H967" i="61" s="1"/>
  <c r="H966" i="61" s="1"/>
  <c r="G971" i="61"/>
  <c r="F970" i="61"/>
  <c r="F969" i="61"/>
  <c r="F968" i="61" s="1"/>
  <c r="J968" i="61"/>
  <c r="I968" i="61"/>
  <c r="H968" i="61"/>
  <c r="G968" i="61"/>
  <c r="G967" i="61" s="1"/>
  <c r="G966" i="61" s="1"/>
  <c r="J967" i="61"/>
  <c r="I967" i="61"/>
  <c r="I966" i="61" s="1"/>
  <c r="J966" i="61"/>
  <c r="F965" i="61"/>
  <c r="F963" i="61" s="1"/>
  <c r="F964" i="61"/>
  <c r="J963" i="61"/>
  <c r="I963" i="61"/>
  <c r="I955" i="61" s="1"/>
  <c r="I927" i="61" s="1"/>
  <c r="H963" i="61"/>
  <c r="G963" i="61"/>
  <c r="F962" i="61"/>
  <c r="F961" i="61"/>
  <c r="F960" i="61" s="1"/>
  <c r="J960" i="61"/>
  <c r="I960" i="61"/>
  <c r="H960" i="61"/>
  <c r="H956" i="61" s="1"/>
  <c r="G960" i="61"/>
  <c r="G956" i="61" s="1"/>
  <c r="G955" i="61" s="1"/>
  <c r="F959" i="61"/>
  <c r="F958" i="61"/>
  <c r="J957" i="61"/>
  <c r="J956" i="61" s="1"/>
  <c r="J955" i="61" s="1"/>
  <c r="I957" i="61"/>
  <c r="H957" i="61"/>
  <c r="G957" i="61"/>
  <c r="F957" i="61"/>
  <c r="I956" i="61"/>
  <c r="H955" i="61"/>
  <c r="F954" i="61"/>
  <c r="F953" i="61"/>
  <c r="F950" i="61" s="1"/>
  <c r="F952" i="61"/>
  <c r="F951" i="61"/>
  <c r="J950" i="61"/>
  <c r="I950" i="61"/>
  <c r="H950" i="61"/>
  <c r="G950" i="61"/>
  <c r="F949" i="61"/>
  <c r="F947" i="61" s="1"/>
  <c r="F948" i="61"/>
  <c r="J947" i="61"/>
  <c r="I947" i="61"/>
  <c r="H947" i="61"/>
  <c r="G947" i="61"/>
  <c r="F946" i="61"/>
  <c r="F945" i="61"/>
  <c r="J944" i="61"/>
  <c r="I944" i="61"/>
  <c r="H944" i="61"/>
  <c r="G944" i="61"/>
  <c r="G943" i="61" s="1"/>
  <c r="G942" i="61" s="1"/>
  <c r="J943" i="61"/>
  <c r="I943" i="61"/>
  <c r="I942" i="61" s="1"/>
  <c r="H943" i="61"/>
  <c r="H942" i="61" s="1"/>
  <c r="J942" i="61"/>
  <c r="F941" i="61"/>
  <c r="F940" i="61"/>
  <c r="F939" i="61"/>
  <c r="F938" i="61"/>
  <c r="J937" i="61"/>
  <c r="I937" i="61"/>
  <c r="H937" i="61"/>
  <c r="G937" i="61"/>
  <c r="G929" i="61" s="1"/>
  <c r="F937" i="61"/>
  <c r="F936" i="61"/>
  <c r="F935" i="61"/>
  <c r="J934" i="61"/>
  <c r="J930" i="61" s="1"/>
  <c r="J929" i="61" s="1"/>
  <c r="I934" i="61"/>
  <c r="I930" i="61" s="1"/>
  <c r="I929" i="61" s="1"/>
  <c r="H934" i="61"/>
  <c r="G934" i="61"/>
  <c r="F934" i="61"/>
  <c r="F933" i="61"/>
  <c r="F931" i="61" s="1"/>
  <c r="F930" i="61" s="1"/>
  <c r="F929" i="61" s="1"/>
  <c r="F932" i="61"/>
  <c r="J931" i="61"/>
  <c r="I931" i="61"/>
  <c r="H931" i="61"/>
  <c r="H930" i="61" s="1"/>
  <c r="H929" i="61" s="1"/>
  <c r="H927" i="61" s="1"/>
  <c r="G931" i="61"/>
  <c r="G930" i="61"/>
  <c r="F926" i="61"/>
  <c r="F923" i="61" s="1"/>
  <c r="F925" i="61"/>
  <c r="F924" i="61"/>
  <c r="J923" i="61"/>
  <c r="I923" i="61"/>
  <c r="H923" i="61"/>
  <c r="G923" i="61"/>
  <c r="F922" i="61"/>
  <c r="F920" i="61" s="1"/>
  <c r="F921" i="61"/>
  <c r="J920" i="61"/>
  <c r="I920" i="61"/>
  <c r="H920" i="61"/>
  <c r="G920" i="61"/>
  <c r="F919" i="61"/>
  <c r="F918" i="61"/>
  <c r="F917" i="61" s="1"/>
  <c r="J917" i="61"/>
  <c r="I917" i="61"/>
  <c r="H917" i="61"/>
  <c r="G917" i="61"/>
  <c r="G916" i="61" s="1"/>
  <c r="G915" i="61" s="1"/>
  <c r="G913" i="61" s="1"/>
  <c r="J916" i="61"/>
  <c r="I916" i="61"/>
  <c r="H916" i="61"/>
  <c r="H915" i="61" s="1"/>
  <c r="H913" i="61" s="1"/>
  <c r="J915" i="61"/>
  <c r="I915" i="61"/>
  <c r="I913" i="61" s="1"/>
  <c r="J913" i="61"/>
  <c r="F912" i="61"/>
  <c r="F911" i="61"/>
  <c r="F910" i="61"/>
  <c r="F909" i="61"/>
  <c r="F906" i="61" s="1"/>
  <c r="F908" i="61"/>
  <c r="F907" i="61"/>
  <c r="J906" i="61"/>
  <c r="I906" i="61"/>
  <c r="I898" i="61" s="1"/>
  <c r="H906" i="61"/>
  <c r="G906" i="61"/>
  <c r="F905" i="61"/>
  <c r="F903" i="61" s="1"/>
  <c r="F904" i="61"/>
  <c r="J903" i="61"/>
  <c r="I903" i="61"/>
  <c r="H903" i="61"/>
  <c r="G903" i="61"/>
  <c r="F902" i="61"/>
  <c r="F901" i="61"/>
  <c r="F900" i="61" s="1"/>
  <c r="F899" i="61" s="1"/>
  <c r="J900" i="61"/>
  <c r="I900" i="61"/>
  <c r="H900" i="61"/>
  <c r="G900" i="61"/>
  <c r="G899" i="61" s="1"/>
  <c r="G898" i="61" s="1"/>
  <c r="J899" i="61"/>
  <c r="I899" i="61"/>
  <c r="H899" i="61"/>
  <c r="H898" i="61" s="1"/>
  <c r="J898" i="61"/>
  <c r="F897" i="61"/>
  <c r="F896" i="61"/>
  <c r="F895" i="61"/>
  <c r="F894" i="61"/>
  <c r="F893" i="61"/>
  <c r="F891" i="61" s="1"/>
  <c r="F892" i="61"/>
  <c r="J891" i="61"/>
  <c r="I891" i="61"/>
  <c r="H891" i="61"/>
  <c r="H883" i="61" s="1"/>
  <c r="G891" i="61"/>
  <c r="F890" i="61"/>
  <c r="F889" i="61"/>
  <c r="F888" i="61" s="1"/>
  <c r="J888" i="61"/>
  <c r="I888" i="61"/>
  <c r="H888" i="61"/>
  <c r="G888" i="61"/>
  <c r="F887" i="61"/>
  <c r="F886" i="61"/>
  <c r="J885" i="61"/>
  <c r="J884" i="61" s="1"/>
  <c r="J883" i="61" s="1"/>
  <c r="I885" i="61"/>
  <c r="H885" i="61"/>
  <c r="G885" i="61"/>
  <c r="F885" i="61"/>
  <c r="F884" i="61" s="1"/>
  <c r="I884" i="61"/>
  <c r="H884" i="61"/>
  <c r="G884" i="61"/>
  <c r="G883" i="61" s="1"/>
  <c r="I883" i="61"/>
  <c r="F882" i="61"/>
  <c r="F881" i="61"/>
  <c r="F880" i="61"/>
  <c r="F879" i="61"/>
  <c r="F878" i="61"/>
  <c r="F877" i="61"/>
  <c r="F876" i="61" s="1"/>
  <c r="J876" i="61"/>
  <c r="I876" i="61"/>
  <c r="H876" i="61"/>
  <c r="G876" i="61"/>
  <c r="F875" i="61"/>
  <c r="F874" i="61"/>
  <c r="J873" i="61"/>
  <c r="I873" i="61"/>
  <c r="H873" i="61"/>
  <c r="G873" i="61"/>
  <c r="F873" i="61"/>
  <c r="F869" i="61" s="1"/>
  <c r="F868" i="61" s="1"/>
  <c r="F872" i="61"/>
  <c r="F871" i="61"/>
  <c r="J870" i="61"/>
  <c r="I870" i="61"/>
  <c r="I869" i="61" s="1"/>
  <c r="I868" i="61" s="1"/>
  <c r="H870" i="61"/>
  <c r="G870" i="61"/>
  <c r="F870" i="61"/>
  <c r="J869" i="61"/>
  <c r="J868" i="61" s="1"/>
  <c r="H869" i="61"/>
  <c r="G869" i="61"/>
  <c r="H868" i="61"/>
  <c r="G868" i="61"/>
  <c r="F867" i="61"/>
  <c r="F866" i="61"/>
  <c r="F865" i="61"/>
  <c r="F864" i="61"/>
  <c r="F863" i="61"/>
  <c r="F862" i="61"/>
  <c r="J861" i="61"/>
  <c r="J853" i="61" s="1"/>
  <c r="I861" i="61"/>
  <c r="H861" i="61"/>
  <c r="G861" i="61"/>
  <c r="F861" i="61"/>
  <c r="F860" i="61"/>
  <c r="F859" i="61"/>
  <c r="J858" i="61"/>
  <c r="I858" i="61"/>
  <c r="I854" i="61" s="1"/>
  <c r="I853" i="61" s="1"/>
  <c r="H858" i="61"/>
  <c r="G858" i="61"/>
  <c r="F858" i="61"/>
  <c r="F857" i="61"/>
  <c r="F855" i="61" s="1"/>
  <c r="F854" i="61" s="1"/>
  <c r="F853" i="61" s="1"/>
  <c r="F856" i="61"/>
  <c r="J855" i="61"/>
  <c r="I855" i="61"/>
  <c r="H855" i="61"/>
  <c r="H854" i="61" s="1"/>
  <c r="H853" i="61" s="1"/>
  <c r="G855" i="61"/>
  <c r="J854" i="61"/>
  <c r="G854" i="61"/>
  <c r="G853" i="61"/>
  <c r="F852" i="61"/>
  <c r="F851" i="61"/>
  <c r="F850" i="61"/>
  <c r="F849" i="61"/>
  <c r="F846" i="61" s="1"/>
  <c r="F848" i="61"/>
  <c r="F847" i="61"/>
  <c r="J846" i="61"/>
  <c r="I846" i="61"/>
  <c r="H846" i="61"/>
  <c r="G846" i="61"/>
  <c r="F845" i="61"/>
  <c r="F843" i="61" s="1"/>
  <c r="F844" i="61"/>
  <c r="J843" i="61"/>
  <c r="I843" i="61"/>
  <c r="H843" i="61"/>
  <c r="G843" i="61"/>
  <c r="F842" i="61"/>
  <c r="F841" i="61"/>
  <c r="F840" i="61" s="1"/>
  <c r="F839" i="61" s="1"/>
  <c r="F838" i="61" s="1"/>
  <c r="J840" i="61"/>
  <c r="I840" i="61"/>
  <c r="H840" i="61"/>
  <c r="G840" i="61"/>
  <c r="G839" i="61" s="1"/>
  <c r="G838" i="61" s="1"/>
  <c r="J839" i="61"/>
  <c r="I839" i="61"/>
  <c r="H839" i="61"/>
  <c r="H838" i="61" s="1"/>
  <c r="J838" i="61"/>
  <c r="I838" i="61"/>
  <c r="F837" i="61"/>
  <c r="F836" i="61"/>
  <c r="F835" i="61"/>
  <c r="F834" i="61"/>
  <c r="F833" i="61"/>
  <c r="F831" i="61" s="1"/>
  <c r="F832" i="61"/>
  <c r="J831" i="61"/>
  <c r="I831" i="61"/>
  <c r="H831" i="61"/>
  <c r="G831" i="61"/>
  <c r="F830" i="61"/>
  <c r="F829" i="61"/>
  <c r="F828" i="61" s="1"/>
  <c r="J828" i="61"/>
  <c r="I828" i="61"/>
  <c r="H828" i="61"/>
  <c r="G828" i="61"/>
  <c r="F827" i="61"/>
  <c r="F826" i="61"/>
  <c r="J825" i="61"/>
  <c r="J824" i="61" s="1"/>
  <c r="J823" i="61" s="1"/>
  <c r="I825" i="61"/>
  <c r="H825" i="61"/>
  <c r="G825" i="61"/>
  <c r="F825" i="61"/>
  <c r="F824" i="61" s="1"/>
  <c r="F823" i="61" s="1"/>
  <c r="I824" i="61"/>
  <c r="H824" i="61"/>
  <c r="G824" i="61"/>
  <c r="G823" i="61" s="1"/>
  <c r="I823" i="61"/>
  <c r="H823" i="61"/>
  <c r="F822" i="61"/>
  <c r="F821" i="61"/>
  <c r="F820" i="61"/>
  <c r="F819" i="61"/>
  <c r="F818" i="61"/>
  <c r="F817" i="61"/>
  <c r="F816" i="61" s="1"/>
  <c r="J816" i="61"/>
  <c r="I816" i="61"/>
  <c r="H816" i="61"/>
  <c r="G816" i="61"/>
  <c r="F815" i="61"/>
  <c r="F814" i="61"/>
  <c r="J813" i="61"/>
  <c r="I813" i="61"/>
  <c r="H813" i="61"/>
  <c r="G813" i="61"/>
  <c r="F813" i="61"/>
  <c r="F812" i="61"/>
  <c r="F811" i="61"/>
  <c r="J810" i="61"/>
  <c r="I810" i="61"/>
  <c r="I809" i="61" s="1"/>
  <c r="I808" i="61" s="1"/>
  <c r="H810" i="61"/>
  <c r="G810" i="61"/>
  <c r="F810" i="61"/>
  <c r="J809" i="61"/>
  <c r="J808" i="61" s="1"/>
  <c r="H809" i="61"/>
  <c r="G809" i="61"/>
  <c r="F809" i="61"/>
  <c r="H808" i="61"/>
  <c r="G808" i="61"/>
  <c r="F807" i="61"/>
  <c r="F806" i="61"/>
  <c r="F805" i="61"/>
  <c r="F804" i="61"/>
  <c r="F803" i="61"/>
  <c r="F802" i="61"/>
  <c r="J801" i="61"/>
  <c r="I801" i="61"/>
  <c r="H801" i="61"/>
  <c r="G801" i="61"/>
  <c r="F801" i="61"/>
  <c r="F800" i="61"/>
  <c r="F799" i="61"/>
  <c r="J798" i="61"/>
  <c r="I798" i="61"/>
  <c r="H798" i="61"/>
  <c r="G798" i="61"/>
  <c r="F798" i="61"/>
  <c r="F797" i="61"/>
  <c r="F795" i="61" s="1"/>
  <c r="F794" i="61" s="1"/>
  <c r="F796" i="61"/>
  <c r="J795" i="61"/>
  <c r="I795" i="61"/>
  <c r="H795" i="61"/>
  <c r="H794" i="61" s="1"/>
  <c r="H793" i="61" s="1"/>
  <c r="G795" i="61"/>
  <c r="J794" i="61"/>
  <c r="I794" i="61"/>
  <c r="I793" i="61" s="1"/>
  <c r="G794" i="61"/>
  <c r="J793" i="61"/>
  <c r="G793" i="61"/>
  <c r="F793" i="61"/>
  <c r="F792" i="61"/>
  <c r="F791" i="61"/>
  <c r="F790" i="61"/>
  <c r="F789" i="61"/>
  <c r="F786" i="61" s="1"/>
  <c r="F788" i="61"/>
  <c r="F787" i="61"/>
  <c r="J786" i="61"/>
  <c r="I786" i="61"/>
  <c r="I778" i="61" s="1"/>
  <c r="H786" i="61"/>
  <c r="G786" i="61"/>
  <c r="F785" i="61"/>
  <c r="F783" i="61" s="1"/>
  <c r="F784" i="61"/>
  <c r="J783" i="61"/>
  <c r="I783" i="61"/>
  <c r="H783" i="61"/>
  <c r="H779" i="61" s="1"/>
  <c r="H778" i="61" s="1"/>
  <c r="G783" i="61"/>
  <c r="F782" i="61"/>
  <c r="F781" i="61"/>
  <c r="F780" i="61" s="1"/>
  <c r="F779" i="61" s="1"/>
  <c r="F778" i="61" s="1"/>
  <c r="J780" i="61"/>
  <c r="I780" i="61"/>
  <c r="H780" i="61"/>
  <c r="G780" i="61"/>
  <c r="G779" i="61" s="1"/>
  <c r="G778" i="61" s="1"/>
  <c r="J779" i="61"/>
  <c r="I779" i="61"/>
  <c r="J778" i="61"/>
  <c r="F777" i="61"/>
  <c r="F776" i="61"/>
  <c r="F775" i="61"/>
  <c r="F774" i="61"/>
  <c r="F773" i="61"/>
  <c r="F771" i="61" s="1"/>
  <c r="F772" i="61"/>
  <c r="J771" i="61"/>
  <c r="I771" i="61"/>
  <c r="H771" i="61"/>
  <c r="H763" i="61" s="1"/>
  <c r="G771" i="61"/>
  <c r="F770" i="61"/>
  <c r="F769" i="61"/>
  <c r="F768" i="61" s="1"/>
  <c r="J768" i="61"/>
  <c r="I768" i="61"/>
  <c r="H768" i="61"/>
  <c r="G768" i="61"/>
  <c r="G764" i="61" s="1"/>
  <c r="G763" i="61" s="1"/>
  <c r="F767" i="61"/>
  <c r="F766" i="61"/>
  <c r="J765" i="61"/>
  <c r="J764" i="61" s="1"/>
  <c r="J763" i="61" s="1"/>
  <c r="I765" i="61"/>
  <c r="H765" i="61"/>
  <c r="G765" i="61"/>
  <c r="F765" i="61"/>
  <c r="F764" i="61" s="1"/>
  <c r="F763" i="61" s="1"/>
  <c r="I764" i="61"/>
  <c r="H764" i="61"/>
  <c r="I763" i="61"/>
  <c r="F762" i="61"/>
  <c r="F761" i="61"/>
  <c r="F760" i="61"/>
  <c r="F759" i="61"/>
  <c r="F758" i="61"/>
  <c r="F757" i="61"/>
  <c r="F756" i="61" s="1"/>
  <c r="J756" i="61"/>
  <c r="I756" i="61"/>
  <c r="H756" i="61"/>
  <c r="G756" i="61"/>
  <c r="F755" i="61"/>
  <c r="F754" i="61"/>
  <c r="J753" i="61"/>
  <c r="J749" i="61" s="1"/>
  <c r="J748" i="61" s="1"/>
  <c r="I753" i="61"/>
  <c r="H753" i="61"/>
  <c r="G753" i="61"/>
  <c r="F753" i="61"/>
  <c r="F752" i="61"/>
  <c r="F751" i="61"/>
  <c r="F750" i="61" s="1"/>
  <c r="J750" i="61"/>
  <c r="I750" i="61"/>
  <c r="I749" i="61" s="1"/>
  <c r="I748" i="61" s="1"/>
  <c r="H750" i="61"/>
  <c r="G750" i="61"/>
  <c r="H749" i="61"/>
  <c r="G749" i="61"/>
  <c r="F749" i="61"/>
  <c r="F748" i="61" s="1"/>
  <c r="H748" i="61"/>
  <c r="G748" i="61"/>
  <c r="F747" i="61"/>
  <c r="F746" i="61"/>
  <c r="F745" i="61"/>
  <c r="F744" i="61"/>
  <c r="F743" i="61"/>
  <c r="F742" i="61"/>
  <c r="J741" i="61"/>
  <c r="I741" i="61"/>
  <c r="H741" i="61"/>
  <c r="G741" i="61"/>
  <c r="F741" i="61"/>
  <c r="F740" i="61"/>
  <c r="F739" i="61"/>
  <c r="J738" i="61"/>
  <c r="I738" i="61"/>
  <c r="H738" i="61"/>
  <c r="G738" i="61"/>
  <c r="F738" i="61"/>
  <c r="F737" i="61"/>
  <c r="F735" i="61" s="1"/>
  <c r="F734" i="61" s="1"/>
  <c r="F736" i="61"/>
  <c r="J735" i="61"/>
  <c r="I735" i="61"/>
  <c r="H735" i="61"/>
  <c r="H734" i="61" s="1"/>
  <c r="H733" i="61" s="1"/>
  <c r="G735" i="61"/>
  <c r="J734" i="61"/>
  <c r="I734" i="61"/>
  <c r="I733" i="61" s="1"/>
  <c r="G734" i="61"/>
  <c r="J733" i="61"/>
  <c r="G733" i="61"/>
  <c r="F733" i="61"/>
  <c r="F732" i="61"/>
  <c r="F731" i="61"/>
  <c r="F730" i="61"/>
  <c r="F729" i="61"/>
  <c r="F726" i="61" s="1"/>
  <c r="F728" i="61"/>
  <c r="F727" i="61"/>
  <c r="J726" i="61"/>
  <c r="I726" i="61"/>
  <c r="I718" i="61" s="1"/>
  <c r="H726" i="61"/>
  <c r="G726" i="61"/>
  <c r="F725" i="61"/>
  <c r="F723" i="61" s="1"/>
  <c r="F724" i="61"/>
  <c r="J723" i="61"/>
  <c r="I723" i="61"/>
  <c r="H723" i="61"/>
  <c r="G723" i="61"/>
  <c r="F722" i="61"/>
  <c r="F721" i="61"/>
  <c r="F720" i="61" s="1"/>
  <c r="F719" i="61" s="1"/>
  <c r="J720" i="61"/>
  <c r="I720" i="61"/>
  <c r="H720" i="61"/>
  <c r="G720" i="61"/>
  <c r="G719" i="61" s="1"/>
  <c r="G718" i="61" s="1"/>
  <c r="J719" i="61"/>
  <c r="I719" i="61"/>
  <c r="H719" i="61"/>
  <c r="H718" i="61" s="1"/>
  <c r="J718" i="61"/>
  <c r="F717" i="61"/>
  <c r="F716" i="61"/>
  <c r="F715" i="61"/>
  <c r="F714" i="61"/>
  <c r="F713" i="61"/>
  <c r="F711" i="61" s="1"/>
  <c r="F712" i="61"/>
  <c r="J711" i="61"/>
  <c r="I711" i="61"/>
  <c r="H711" i="61"/>
  <c r="H703" i="61" s="1"/>
  <c r="G711" i="61"/>
  <c r="F710" i="61"/>
  <c r="F709" i="61"/>
  <c r="F708" i="61" s="1"/>
  <c r="J708" i="61"/>
  <c r="I708" i="61"/>
  <c r="H708" i="61"/>
  <c r="G708" i="61"/>
  <c r="F707" i="61"/>
  <c r="F706" i="61"/>
  <c r="J705" i="61"/>
  <c r="J704" i="61" s="1"/>
  <c r="J703" i="61" s="1"/>
  <c r="I705" i="61"/>
  <c r="H705" i="61"/>
  <c r="G705" i="61"/>
  <c r="F705" i="61"/>
  <c r="F704" i="61" s="1"/>
  <c r="I704" i="61"/>
  <c r="H704" i="61"/>
  <c r="G704" i="61"/>
  <c r="G703" i="61" s="1"/>
  <c r="I703" i="61"/>
  <c r="F702" i="61"/>
  <c r="F701" i="61"/>
  <c r="F700" i="61"/>
  <c r="F699" i="61"/>
  <c r="F698" i="61"/>
  <c r="F697" i="61"/>
  <c r="F696" i="61" s="1"/>
  <c r="J696" i="61"/>
  <c r="I696" i="61"/>
  <c r="H696" i="61"/>
  <c r="G696" i="61"/>
  <c r="F695" i="61"/>
  <c r="F694" i="61"/>
  <c r="J693" i="61"/>
  <c r="I693" i="61"/>
  <c r="H693" i="61"/>
  <c r="G693" i="61"/>
  <c r="F693" i="61"/>
  <c r="F689" i="61" s="1"/>
  <c r="F688" i="61" s="1"/>
  <c r="F692" i="61"/>
  <c r="F691" i="61"/>
  <c r="J690" i="61"/>
  <c r="I690" i="61"/>
  <c r="I689" i="61" s="1"/>
  <c r="I688" i="61" s="1"/>
  <c r="H690" i="61"/>
  <c r="G690" i="61"/>
  <c r="F690" i="61"/>
  <c r="J689" i="61"/>
  <c r="J688" i="61" s="1"/>
  <c r="H689" i="61"/>
  <c r="G689" i="61"/>
  <c r="H688" i="61"/>
  <c r="G688" i="61"/>
  <c r="F687" i="61"/>
  <c r="F686" i="61"/>
  <c r="F685" i="61"/>
  <c r="F684" i="61"/>
  <c r="F683" i="61"/>
  <c r="F682" i="61"/>
  <c r="J681" i="61"/>
  <c r="J673" i="61" s="1"/>
  <c r="I681" i="61"/>
  <c r="H681" i="61"/>
  <c r="G681" i="61"/>
  <c r="F681" i="61"/>
  <c r="F680" i="61"/>
  <c r="F679" i="61"/>
  <c r="J678" i="61"/>
  <c r="I678" i="61"/>
  <c r="I674" i="61" s="1"/>
  <c r="I673" i="61" s="1"/>
  <c r="H678" i="61"/>
  <c r="G678" i="61"/>
  <c r="F678" i="61"/>
  <c r="F677" i="61"/>
  <c r="F675" i="61" s="1"/>
  <c r="F674" i="61" s="1"/>
  <c r="F673" i="61" s="1"/>
  <c r="F676" i="61"/>
  <c r="J675" i="61"/>
  <c r="I675" i="61"/>
  <c r="H675" i="61"/>
  <c r="H674" i="61" s="1"/>
  <c r="H673" i="61" s="1"/>
  <c r="G675" i="61"/>
  <c r="J674" i="61"/>
  <c r="G674" i="61"/>
  <c r="G673" i="61"/>
  <c r="F672" i="61"/>
  <c r="F671" i="61"/>
  <c r="F670" i="61"/>
  <c r="F669" i="61"/>
  <c r="F666" i="61" s="1"/>
  <c r="F668" i="61"/>
  <c r="F667" i="61"/>
  <c r="J666" i="61"/>
  <c r="I666" i="61"/>
  <c r="H666" i="61"/>
  <c r="G666" i="61"/>
  <c r="F665" i="61"/>
  <c r="F663" i="61" s="1"/>
  <c r="F664" i="61"/>
  <c r="J663" i="61"/>
  <c r="I663" i="61"/>
  <c r="H663" i="61"/>
  <c r="G663" i="61"/>
  <c r="F662" i="61"/>
  <c r="F661" i="61"/>
  <c r="F660" i="61" s="1"/>
  <c r="F659" i="61" s="1"/>
  <c r="F658" i="61" s="1"/>
  <c r="J660" i="61"/>
  <c r="I660" i="61"/>
  <c r="H660" i="61"/>
  <c r="G660" i="61"/>
  <c r="G659" i="61" s="1"/>
  <c r="G658" i="61" s="1"/>
  <c r="J659" i="61"/>
  <c r="I659" i="61"/>
  <c r="H659" i="61"/>
  <c r="H658" i="61" s="1"/>
  <c r="J658" i="61"/>
  <c r="I658" i="61"/>
  <c r="F657" i="61"/>
  <c r="F656" i="61"/>
  <c r="F655" i="61"/>
  <c r="F654" i="61"/>
  <c r="F653" i="61"/>
  <c r="F651" i="61" s="1"/>
  <c r="F652" i="61"/>
  <c r="J651" i="61"/>
  <c r="I651" i="61"/>
  <c r="H651" i="61"/>
  <c r="G651" i="61"/>
  <c r="F650" i="61"/>
  <c r="F649" i="61"/>
  <c r="F648" i="61" s="1"/>
  <c r="J648" i="61"/>
  <c r="I648" i="61"/>
  <c r="H648" i="61"/>
  <c r="G648" i="61"/>
  <c r="F647" i="61"/>
  <c r="F646" i="61"/>
  <c r="J645" i="61"/>
  <c r="J644" i="61" s="1"/>
  <c r="J643" i="61" s="1"/>
  <c r="I645" i="61"/>
  <c r="H645" i="61"/>
  <c r="G645" i="61"/>
  <c r="F645" i="61"/>
  <c r="F644" i="61" s="1"/>
  <c r="F643" i="61" s="1"/>
  <c r="I644" i="61"/>
  <c r="H644" i="61"/>
  <c r="G644" i="61"/>
  <c r="G643" i="61" s="1"/>
  <c r="I643" i="61"/>
  <c r="H643" i="61"/>
  <c r="F642" i="61"/>
  <c r="F641" i="61"/>
  <c r="F640" i="61"/>
  <c r="F639" i="61"/>
  <c r="F638" i="61"/>
  <c r="F637" i="61"/>
  <c r="F636" i="61" s="1"/>
  <c r="J636" i="61"/>
  <c r="I636" i="61"/>
  <c r="H636" i="61"/>
  <c r="G636" i="61"/>
  <c r="F635" i="61"/>
  <c r="F634" i="61"/>
  <c r="J633" i="61"/>
  <c r="I633" i="61"/>
  <c r="H633" i="61"/>
  <c r="G633" i="61"/>
  <c r="F633" i="61"/>
  <c r="F632" i="61"/>
  <c r="F631" i="61"/>
  <c r="J630" i="61"/>
  <c r="I630" i="61"/>
  <c r="I629" i="61" s="1"/>
  <c r="I628" i="61" s="1"/>
  <c r="H630" i="61"/>
  <c r="G630" i="61"/>
  <c r="F630" i="61"/>
  <c r="J629" i="61"/>
  <c r="J628" i="61" s="1"/>
  <c r="H629" i="61"/>
  <c r="G629" i="61"/>
  <c r="F629" i="61"/>
  <c r="H628" i="61"/>
  <c r="G628" i="61"/>
  <c r="F627" i="61"/>
  <c r="F626" i="61"/>
  <c r="F625" i="61"/>
  <c r="F624" i="61"/>
  <c r="F623" i="61"/>
  <c r="F622" i="61"/>
  <c r="J621" i="61"/>
  <c r="I621" i="61"/>
  <c r="H621" i="61"/>
  <c r="G621" i="61"/>
  <c r="F621" i="61"/>
  <c r="F620" i="61"/>
  <c r="F619" i="61"/>
  <c r="J618" i="61"/>
  <c r="I618" i="61"/>
  <c r="H618" i="61"/>
  <c r="G618" i="61"/>
  <c r="F618" i="61"/>
  <c r="F617" i="61"/>
  <c r="F615" i="61" s="1"/>
  <c r="F614" i="61" s="1"/>
  <c r="F616" i="61"/>
  <c r="J615" i="61"/>
  <c r="I615" i="61"/>
  <c r="H615" i="61"/>
  <c r="H614" i="61" s="1"/>
  <c r="H613" i="61" s="1"/>
  <c r="G615" i="61"/>
  <c r="J614" i="61"/>
  <c r="I614" i="61"/>
  <c r="I613" i="61" s="1"/>
  <c r="G614" i="61"/>
  <c r="J613" i="61"/>
  <c r="G613" i="61"/>
  <c r="F613" i="61"/>
  <c r="F612" i="61"/>
  <c r="F611" i="61"/>
  <c r="F610" i="61"/>
  <c r="F609" i="61"/>
  <c r="F606" i="61" s="1"/>
  <c r="F608" i="61"/>
  <c r="F607" i="61"/>
  <c r="J606" i="61"/>
  <c r="I606" i="61"/>
  <c r="I598" i="61" s="1"/>
  <c r="H606" i="61"/>
  <c r="G606" i="61"/>
  <c r="F605" i="61"/>
  <c r="F603" i="61" s="1"/>
  <c r="F604" i="61"/>
  <c r="J603" i="61"/>
  <c r="I603" i="61"/>
  <c r="H603" i="61"/>
  <c r="H599" i="61" s="1"/>
  <c r="H598" i="61" s="1"/>
  <c r="G603" i="61"/>
  <c r="F602" i="61"/>
  <c r="F601" i="61"/>
  <c r="F600" i="61" s="1"/>
  <c r="F599" i="61" s="1"/>
  <c r="F598" i="61" s="1"/>
  <c r="J600" i="61"/>
  <c r="I600" i="61"/>
  <c r="H600" i="61"/>
  <c r="G600" i="61"/>
  <c r="G599" i="61" s="1"/>
  <c r="G598" i="61" s="1"/>
  <c r="J599" i="61"/>
  <c r="I599" i="61"/>
  <c r="J598" i="61"/>
  <c r="F597" i="61"/>
  <c r="F596" i="61"/>
  <c r="F595" i="61"/>
  <c r="F594" i="61"/>
  <c r="F593" i="61"/>
  <c r="F591" i="61" s="1"/>
  <c r="F592" i="61"/>
  <c r="J591" i="61"/>
  <c r="I591" i="61"/>
  <c r="H591" i="61"/>
  <c r="G591" i="61"/>
  <c r="F590" i="61"/>
  <c r="F589" i="61"/>
  <c r="J588" i="61"/>
  <c r="I588" i="61"/>
  <c r="H588" i="61"/>
  <c r="G588" i="61"/>
  <c r="F588" i="61"/>
  <c r="F587" i="61"/>
  <c r="F586" i="61"/>
  <c r="F585" i="61" s="1"/>
  <c r="F584" i="61" s="1"/>
  <c r="F583" i="61" s="1"/>
  <c r="J585" i="61"/>
  <c r="I585" i="61"/>
  <c r="I584" i="61" s="1"/>
  <c r="I583" i="61" s="1"/>
  <c r="H585" i="61"/>
  <c r="G585" i="61"/>
  <c r="G584" i="61" s="1"/>
  <c r="G583" i="61" s="1"/>
  <c r="J584" i="61"/>
  <c r="J583" i="61" s="1"/>
  <c r="H584" i="61"/>
  <c r="H583" i="61" s="1"/>
  <c r="F582" i="61"/>
  <c r="F581" i="61"/>
  <c r="F580" i="61"/>
  <c r="F579" i="61"/>
  <c r="F578" i="61"/>
  <c r="F576" i="61" s="1"/>
  <c r="F577" i="61"/>
  <c r="J576" i="61"/>
  <c r="I576" i="61"/>
  <c r="H576" i="61"/>
  <c r="G576" i="61"/>
  <c r="F575" i="61"/>
  <c r="F574" i="61"/>
  <c r="F573" i="61" s="1"/>
  <c r="J573" i="61"/>
  <c r="I573" i="61"/>
  <c r="H573" i="61"/>
  <c r="G573" i="61"/>
  <c r="F572" i="61"/>
  <c r="F571" i="61"/>
  <c r="J570" i="61"/>
  <c r="J569" i="61" s="1"/>
  <c r="J568" i="61" s="1"/>
  <c r="I570" i="61"/>
  <c r="H570" i="61"/>
  <c r="H569" i="61" s="1"/>
  <c r="H568" i="61" s="1"/>
  <c r="G570" i="61"/>
  <c r="F570" i="61"/>
  <c r="I569" i="61"/>
  <c r="I568" i="61" s="1"/>
  <c r="G569" i="61"/>
  <c r="G568" i="61" s="1"/>
  <c r="F567" i="61"/>
  <c r="F566" i="61"/>
  <c r="F565" i="61"/>
  <c r="F564" i="61"/>
  <c r="F563" i="61"/>
  <c r="F562" i="61"/>
  <c r="F561" i="61" s="1"/>
  <c r="J561" i="61"/>
  <c r="I561" i="61"/>
  <c r="H561" i="61"/>
  <c r="G561" i="61"/>
  <c r="F560" i="61"/>
  <c r="F559" i="61"/>
  <c r="J558" i="61"/>
  <c r="I558" i="61"/>
  <c r="H558" i="61"/>
  <c r="G558" i="61"/>
  <c r="F558" i="61"/>
  <c r="F557" i="61"/>
  <c r="F556" i="61"/>
  <c r="F555" i="61" s="1"/>
  <c r="F554" i="61" s="1"/>
  <c r="F553" i="61" s="1"/>
  <c r="J555" i="61"/>
  <c r="I555" i="61"/>
  <c r="I554" i="61" s="1"/>
  <c r="I553" i="61" s="1"/>
  <c r="H555" i="61"/>
  <c r="G555" i="61"/>
  <c r="G554" i="61" s="1"/>
  <c r="G553" i="61" s="1"/>
  <c r="J554" i="61"/>
  <c r="J553" i="61" s="1"/>
  <c r="H554" i="61"/>
  <c r="H553" i="61" s="1"/>
  <c r="F552" i="61"/>
  <c r="F551" i="61"/>
  <c r="F550" i="61"/>
  <c r="F549" i="61"/>
  <c r="F548" i="61"/>
  <c r="F547" i="61"/>
  <c r="J546" i="61"/>
  <c r="I546" i="61"/>
  <c r="H546" i="61"/>
  <c r="G546" i="61"/>
  <c r="F546" i="61"/>
  <c r="F545" i="61"/>
  <c r="F544" i="61"/>
  <c r="F543" i="61" s="1"/>
  <c r="J543" i="61"/>
  <c r="I543" i="61"/>
  <c r="H543" i="61"/>
  <c r="G543" i="61"/>
  <c r="F542" i="61"/>
  <c r="F540" i="61" s="1"/>
  <c r="F539" i="61" s="1"/>
  <c r="F538" i="61" s="1"/>
  <c r="F541" i="61"/>
  <c r="J540" i="61"/>
  <c r="J539" i="61" s="1"/>
  <c r="J538" i="61" s="1"/>
  <c r="I540" i="61"/>
  <c r="H540" i="61"/>
  <c r="H539" i="61" s="1"/>
  <c r="H538" i="61" s="1"/>
  <c r="G540" i="61"/>
  <c r="I539" i="61"/>
  <c r="I538" i="61" s="1"/>
  <c r="G539" i="61"/>
  <c r="G538" i="61" s="1"/>
  <c r="F537" i="61"/>
  <c r="F536" i="61"/>
  <c r="F535" i="61"/>
  <c r="F534" i="61"/>
  <c r="F533" i="61"/>
  <c r="F532" i="61"/>
  <c r="F531" i="61" s="1"/>
  <c r="J531" i="61"/>
  <c r="I531" i="61"/>
  <c r="H531" i="61"/>
  <c r="G531" i="61"/>
  <c r="F530" i="61"/>
  <c r="F528" i="61" s="1"/>
  <c r="F529" i="61"/>
  <c r="J528" i="61"/>
  <c r="I528" i="61"/>
  <c r="H528" i="61"/>
  <c r="G528" i="61"/>
  <c r="F527" i="61"/>
  <c r="F526" i="61"/>
  <c r="F525" i="61" s="1"/>
  <c r="J525" i="61"/>
  <c r="I525" i="61"/>
  <c r="I524" i="61" s="1"/>
  <c r="I523" i="61" s="1"/>
  <c r="H525" i="61"/>
  <c r="G525" i="61"/>
  <c r="G524" i="61" s="1"/>
  <c r="G523" i="61" s="1"/>
  <c r="J524" i="61"/>
  <c r="J523" i="61" s="1"/>
  <c r="J521" i="61" s="1"/>
  <c r="H524" i="61"/>
  <c r="H523" i="61" s="1"/>
  <c r="F520" i="61"/>
  <c r="F519" i="61"/>
  <c r="F518" i="61" s="1"/>
  <c r="J518" i="61"/>
  <c r="I518" i="61"/>
  <c r="I499" i="61" s="1"/>
  <c r="H518" i="61"/>
  <c r="G518" i="61"/>
  <c r="F517" i="61"/>
  <c r="F516" i="61"/>
  <c r="F515" i="61"/>
  <c r="F514" i="61"/>
  <c r="J513" i="61"/>
  <c r="I513" i="61"/>
  <c r="H513" i="61"/>
  <c r="G513" i="61"/>
  <c r="F513" i="61"/>
  <c r="F512" i="61"/>
  <c r="F511" i="61"/>
  <c r="F510" i="61"/>
  <c r="F509" i="61"/>
  <c r="F508" i="61"/>
  <c r="F507" i="61"/>
  <c r="F506" i="61"/>
  <c r="F505" i="61"/>
  <c r="F504" i="61" s="1"/>
  <c r="J504" i="61"/>
  <c r="I504" i="61"/>
  <c r="H504" i="61"/>
  <c r="G504" i="61"/>
  <c r="F503" i="61"/>
  <c r="F502" i="61"/>
  <c r="J501" i="61"/>
  <c r="J500" i="61" s="1"/>
  <c r="J499" i="61" s="1"/>
  <c r="I501" i="61"/>
  <c r="H501" i="61"/>
  <c r="G501" i="61"/>
  <c r="F501" i="61"/>
  <c r="I500" i="61"/>
  <c r="H500" i="61"/>
  <c r="G500" i="61"/>
  <c r="G499" i="61" s="1"/>
  <c r="H499" i="61"/>
  <c r="F498" i="61"/>
  <c r="F497" i="61"/>
  <c r="F496" i="61" s="1"/>
  <c r="J496" i="61"/>
  <c r="I496" i="61"/>
  <c r="H496" i="61"/>
  <c r="G496" i="61"/>
  <c r="F495" i="61"/>
  <c r="F494" i="61"/>
  <c r="F493" i="61"/>
  <c r="F492" i="61"/>
  <c r="F491" i="61"/>
  <c r="F490" i="61"/>
  <c r="F489" i="61"/>
  <c r="F488" i="61"/>
  <c r="F487" i="61"/>
  <c r="F486" i="61"/>
  <c r="F485" i="61"/>
  <c r="F484" i="61"/>
  <c r="F483" i="61"/>
  <c r="F482" i="61"/>
  <c r="F481" i="61"/>
  <c r="F479" i="61" s="1"/>
  <c r="F480" i="61"/>
  <c r="J479" i="61"/>
  <c r="I479" i="61"/>
  <c r="H479" i="61"/>
  <c r="H469" i="61" s="1"/>
  <c r="H468" i="61" s="1"/>
  <c r="G479" i="61"/>
  <c r="F478" i="61"/>
  <c r="F477" i="61"/>
  <c r="F476" i="61"/>
  <c r="F475" i="61"/>
  <c r="F474" i="61"/>
  <c r="F473" i="61"/>
  <c r="F470" i="61" s="1"/>
  <c r="F472" i="61"/>
  <c r="F471" i="61"/>
  <c r="J470" i="61"/>
  <c r="I470" i="61"/>
  <c r="I469" i="61" s="1"/>
  <c r="I468" i="61" s="1"/>
  <c r="H470" i="61"/>
  <c r="G470" i="61"/>
  <c r="J469" i="61"/>
  <c r="J468" i="61" s="1"/>
  <c r="G469" i="61"/>
  <c r="G468" i="61"/>
  <c r="F467" i="61"/>
  <c r="F466" i="61"/>
  <c r="J465" i="61"/>
  <c r="I465" i="61"/>
  <c r="H465" i="61"/>
  <c r="G465" i="61"/>
  <c r="F465" i="61"/>
  <c r="F464" i="61"/>
  <c r="F463" i="61"/>
  <c r="F462" i="61"/>
  <c r="F461" i="61"/>
  <c r="F460" i="61"/>
  <c r="F459" i="61"/>
  <c r="F458" i="61"/>
  <c r="F457" i="61"/>
  <c r="F454" i="61" s="1"/>
  <c r="F456" i="61"/>
  <c r="F455" i="61"/>
  <c r="J454" i="61"/>
  <c r="I454" i="61"/>
  <c r="I444" i="61" s="1"/>
  <c r="I443" i="61" s="1"/>
  <c r="H454" i="61"/>
  <c r="G454" i="61"/>
  <c r="F453" i="61"/>
  <c r="F452" i="61"/>
  <c r="F451" i="61"/>
  <c r="F450" i="61"/>
  <c r="F449" i="61"/>
  <c r="F448" i="61"/>
  <c r="F447" i="61"/>
  <c r="F446" i="61"/>
  <c r="J445" i="61"/>
  <c r="J444" i="61" s="1"/>
  <c r="J443" i="61" s="1"/>
  <c r="I445" i="61"/>
  <c r="H445" i="61"/>
  <c r="H444" i="61" s="1"/>
  <c r="H443" i="61" s="1"/>
  <c r="G445" i="61"/>
  <c r="F445" i="61"/>
  <c r="F444" i="61" s="1"/>
  <c r="F443" i="61" s="1"/>
  <c r="G444" i="61"/>
  <c r="G443" i="61" s="1"/>
  <c r="F442" i="61"/>
  <c r="F441" i="61"/>
  <c r="F440" i="61" s="1"/>
  <c r="J440" i="61"/>
  <c r="I440" i="61"/>
  <c r="H440" i="61"/>
  <c r="G440" i="61"/>
  <c r="F439" i="61"/>
  <c r="F438" i="61"/>
  <c r="F437" i="61"/>
  <c r="F436" i="61"/>
  <c r="F435" i="61"/>
  <c r="F434" i="61"/>
  <c r="F433" i="61"/>
  <c r="F431" i="61" s="1"/>
  <c r="F432" i="61"/>
  <c r="J431" i="61"/>
  <c r="I431" i="61"/>
  <c r="H431" i="61"/>
  <c r="H421" i="61" s="1"/>
  <c r="H420" i="61" s="1"/>
  <c r="G431" i="61"/>
  <c r="F430" i="61"/>
  <c r="F429" i="61"/>
  <c r="F428" i="61"/>
  <c r="F427" i="61"/>
  <c r="F426" i="61"/>
  <c r="F425" i="61"/>
  <c r="F422" i="61" s="1"/>
  <c r="F424" i="61"/>
  <c r="F423" i="61"/>
  <c r="J422" i="61"/>
  <c r="I422" i="61"/>
  <c r="I421" i="61" s="1"/>
  <c r="I420" i="61" s="1"/>
  <c r="H422" i="61"/>
  <c r="G422" i="61"/>
  <c r="J421" i="61"/>
  <c r="J420" i="61" s="1"/>
  <c r="G421" i="61"/>
  <c r="G420" i="61"/>
  <c r="F419" i="61"/>
  <c r="F418" i="61"/>
  <c r="J417" i="61"/>
  <c r="I417" i="61"/>
  <c r="H417" i="61"/>
  <c r="G417" i="61"/>
  <c r="F417" i="61"/>
  <c r="F416" i="61"/>
  <c r="F415" i="61"/>
  <c r="F414" i="61"/>
  <c r="F413" i="61"/>
  <c r="F412" i="61"/>
  <c r="F411" i="61"/>
  <c r="F410" i="61"/>
  <c r="F409" i="61"/>
  <c r="F408" i="61"/>
  <c r="F407" i="61"/>
  <c r="F406" i="61" s="1"/>
  <c r="J406" i="61"/>
  <c r="I406" i="61"/>
  <c r="I396" i="61" s="1"/>
  <c r="I395" i="61" s="1"/>
  <c r="H406" i="61"/>
  <c r="G406" i="61"/>
  <c r="F405" i="61"/>
  <c r="F404" i="61"/>
  <c r="F403" i="61"/>
  <c r="F402" i="61"/>
  <c r="F401" i="61"/>
  <c r="F400" i="61"/>
  <c r="F399" i="61"/>
  <c r="F398" i="61"/>
  <c r="J397" i="61"/>
  <c r="J396" i="61" s="1"/>
  <c r="J395" i="61" s="1"/>
  <c r="I397" i="61"/>
  <c r="H397" i="61"/>
  <c r="G397" i="61"/>
  <c r="F397" i="61"/>
  <c r="F396" i="61" s="1"/>
  <c r="F395" i="61" s="1"/>
  <c r="H396" i="61"/>
  <c r="G396" i="61"/>
  <c r="G395" i="61" s="1"/>
  <c r="H395" i="61"/>
  <c r="F394" i="61"/>
  <c r="F393" i="61"/>
  <c r="F392" i="61" s="1"/>
  <c r="J392" i="61"/>
  <c r="I392" i="61"/>
  <c r="H392" i="61"/>
  <c r="G392" i="61"/>
  <c r="F391" i="61"/>
  <c r="F390" i="61"/>
  <c r="F389" i="61"/>
  <c r="F388" i="61"/>
  <c r="F387" i="61"/>
  <c r="F386" i="61"/>
  <c r="F385" i="61"/>
  <c r="F384" i="61"/>
  <c r="F383" i="61"/>
  <c r="F382" i="61"/>
  <c r="F381" i="61"/>
  <c r="F380" i="61"/>
  <c r="F379" i="61"/>
  <c r="F378" i="61"/>
  <c r="J377" i="61"/>
  <c r="I377" i="61"/>
  <c r="H377" i="61"/>
  <c r="G377" i="61"/>
  <c r="F377" i="61"/>
  <c r="F376" i="61"/>
  <c r="F375" i="61"/>
  <c r="F374" i="61"/>
  <c r="F373" i="61"/>
  <c r="F372" i="61"/>
  <c r="F371" i="61"/>
  <c r="F370" i="61"/>
  <c r="F369" i="61"/>
  <c r="F368" i="61"/>
  <c r="F367" i="61"/>
  <c r="F366" i="61" s="1"/>
  <c r="F365" i="61" s="1"/>
  <c r="F364" i="61" s="1"/>
  <c r="J366" i="61"/>
  <c r="I366" i="61"/>
  <c r="I365" i="61" s="1"/>
  <c r="I364" i="61" s="1"/>
  <c r="H366" i="61"/>
  <c r="G366" i="61"/>
  <c r="J365" i="61"/>
  <c r="J364" i="61" s="1"/>
  <c r="H365" i="61"/>
  <c r="G365" i="61"/>
  <c r="H364" i="61"/>
  <c r="G364" i="61"/>
  <c r="F363" i="61"/>
  <c r="F362" i="61"/>
  <c r="J361" i="61"/>
  <c r="I361" i="61"/>
  <c r="H361" i="61"/>
  <c r="G361" i="61"/>
  <c r="F361" i="61"/>
  <c r="F360" i="61"/>
  <c r="F359" i="61"/>
  <c r="F358" i="61"/>
  <c r="F357" i="61"/>
  <c r="F356" i="61"/>
  <c r="F355" i="61"/>
  <c r="F354" i="61"/>
  <c r="F353" i="61"/>
  <c r="F352" i="61"/>
  <c r="F351" i="61"/>
  <c r="F350" i="61"/>
  <c r="F349" i="61"/>
  <c r="F348" i="61"/>
  <c r="F347" i="61"/>
  <c r="F346" i="61"/>
  <c r="F345" i="61"/>
  <c r="F344" i="61" s="1"/>
  <c r="J344" i="61"/>
  <c r="I344" i="61"/>
  <c r="H344" i="61"/>
  <c r="G344" i="61"/>
  <c r="F343" i="61"/>
  <c r="F342" i="61"/>
  <c r="F341" i="61"/>
  <c r="F340" i="61"/>
  <c r="F339" i="61"/>
  <c r="F338" i="61"/>
  <c r="F337" i="61"/>
  <c r="F336" i="61"/>
  <c r="F335" i="61"/>
  <c r="F334" i="61"/>
  <c r="J333" i="61"/>
  <c r="J332" i="61" s="1"/>
  <c r="J331" i="61" s="1"/>
  <c r="I333" i="61"/>
  <c r="H333" i="61"/>
  <c r="G333" i="61"/>
  <c r="F333" i="61"/>
  <c r="I332" i="61"/>
  <c r="H332" i="61"/>
  <c r="G332" i="61"/>
  <c r="G331" i="61" s="1"/>
  <c r="I331" i="61"/>
  <c r="H331" i="61"/>
  <c r="F330" i="61"/>
  <c r="F329" i="61"/>
  <c r="F328" i="61" s="1"/>
  <c r="J328" i="61"/>
  <c r="I328" i="61"/>
  <c r="H328" i="61"/>
  <c r="G328" i="61"/>
  <c r="F327" i="61"/>
  <c r="F326" i="61"/>
  <c r="F325" i="61"/>
  <c r="F324" i="61"/>
  <c r="F323" i="61"/>
  <c r="F322" i="61"/>
  <c r="F321" i="61"/>
  <c r="F320" i="61"/>
  <c r="F319" i="61"/>
  <c r="F318" i="61"/>
  <c r="J317" i="61"/>
  <c r="I317" i="61"/>
  <c r="H317" i="61"/>
  <c r="G317" i="61"/>
  <c r="F317" i="61"/>
  <c r="F316" i="61"/>
  <c r="F315" i="61"/>
  <c r="F314" i="61"/>
  <c r="F313" i="61"/>
  <c r="F312" i="61"/>
  <c r="F311" i="61"/>
  <c r="F310" i="61" s="1"/>
  <c r="F309" i="61" s="1"/>
  <c r="J310" i="61"/>
  <c r="I310" i="61"/>
  <c r="I309" i="61" s="1"/>
  <c r="I308" i="61" s="1"/>
  <c r="H310" i="61"/>
  <c r="G310" i="61"/>
  <c r="G309" i="61" s="1"/>
  <c r="G308" i="61" s="1"/>
  <c r="J309" i="61"/>
  <c r="J308" i="61" s="1"/>
  <c r="H309" i="61"/>
  <c r="H308" i="61" s="1"/>
  <c r="F307" i="61"/>
  <c r="F306" i="61"/>
  <c r="J305" i="61"/>
  <c r="I305" i="61"/>
  <c r="H305" i="61"/>
  <c r="G305" i="61"/>
  <c r="F305" i="61"/>
  <c r="F304" i="61"/>
  <c r="F303" i="61"/>
  <c r="F302" i="61"/>
  <c r="F301" i="61"/>
  <c r="F300" i="61"/>
  <c r="F299" i="61"/>
  <c r="F298" i="61"/>
  <c r="F297" i="61"/>
  <c r="F296" i="61"/>
  <c r="F295" i="61"/>
  <c r="F294" i="61" s="1"/>
  <c r="J294" i="61"/>
  <c r="I294" i="61"/>
  <c r="H294" i="61"/>
  <c r="G294" i="61"/>
  <c r="F293" i="61"/>
  <c r="F292" i="61"/>
  <c r="F291" i="61"/>
  <c r="F290" i="61"/>
  <c r="F289" i="61"/>
  <c r="F287" i="61" s="1"/>
  <c r="F288" i="61"/>
  <c r="J287" i="61"/>
  <c r="I287" i="61"/>
  <c r="H287" i="61"/>
  <c r="H286" i="61" s="1"/>
  <c r="H285" i="61" s="1"/>
  <c r="G287" i="61"/>
  <c r="J286" i="61"/>
  <c r="I286" i="61"/>
  <c r="I285" i="61" s="1"/>
  <c r="G286" i="61"/>
  <c r="J285" i="61"/>
  <c r="G285" i="61"/>
  <c r="F284" i="61"/>
  <c r="F283" i="61"/>
  <c r="J282" i="61"/>
  <c r="I282" i="61"/>
  <c r="H282" i="61"/>
  <c r="G282" i="61"/>
  <c r="F282" i="61"/>
  <c r="G281" i="61"/>
  <c r="G279" i="61" s="1"/>
  <c r="G275" i="61" s="1"/>
  <c r="G274" i="61" s="1"/>
  <c r="F280" i="61"/>
  <c r="J279" i="61"/>
  <c r="I279" i="61"/>
  <c r="H279" i="61"/>
  <c r="F278" i="61"/>
  <c r="F276" i="61" s="1"/>
  <c r="F277" i="61"/>
  <c r="J276" i="61"/>
  <c r="I276" i="61"/>
  <c r="H276" i="61"/>
  <c r="H275" i="61" s="1"/>
  <c r="H274" i="61" s="1"/>
  <c r="G276" i="61"/>
  <c r="J275" i="61"/>
  <c r="I275" i="61"/>
  <c r="I274" i="61" s="1"/>
  <c r="J274" i="61"/>
  <c r="F273" i="61"/>
  <c r="F272" i="61"/>
  <c r="J271" i="61"/>
  <c r="I271" i="61"/>
  <c r="H271" i="61"/>
  <c r="G271" i="61"/>
  <c r="F271" i="61"/>
  <c r="F270" i="61"/>
  <c r="F269" i="61"/>
  <c r="F268" i="61"/>
  <c r="F267" i="61"/>
  <c r="F266" i="61"/>
  <c r="F263" i="61" s="1"/>
  <c r="F265" i="61"/>
  <c r="F264" i="61"/>
  <c r="J263" i="61"/>
  <c r="I263" i="61"/>
  <c r="I257" i="61" s="1"/>
  <c r="I256" i="61" s="1"/>
  <c r="H263" i="61"/>
  <c r="G263" i="61"/>
  <c r="F262" i="61"/>
  <c r="F261" i="61"/>
  <c r="F260" i="61"/>
  <c r="F259" i="61"/>
  <c r="J258" i="61"/>
  <c r="J257" i="61" s="1"/>
  <c r="J256" i="61" s="1"/>
  <c r="I258" i="61"/>
  <c r="H258" i="61"/>
  <c r="G258" i="61"/>
  <c r="F258" i="61"/>
  <c r="H257" i="61"/>
  <c r="G257" i="61"/>
  <c r="G256" i="61" s="1"/>
  <c r="H256" i="61"/>
  <c r="F255" i="61"/>
  <c r="F254" i="61"/>
  <c r="F252" i="61" s="1"/>
  <c r="F253" i="61"/>
  <c r="J252" i="61"/>
  <c r="I252" i="61"/>
  <c r="H252" i="61"/>
  <c r="G252" i="61"/>
  <c r="F251" i="61"/>
  <c r="F250" i="61"/>
  <c r="F248" i="61" s="1"/>
  <c r="F249" i="61"/>
  <c r="J248" i="61"/>
  <c r="I248" i="61"/>
  <c r="H248" i="61"/>
  <c r="G248" i="61"/>
  <c r="F247" i="61"/>
  <c r="F246" i="61"/>
  <c r="F244" i="61" s="1"/>
  <c r="F243" i="61" s="1"/>
  <c r="F245" i="61"/>
  <c r="J244" i="61"/>
  <c r="I244" i="61"/>
  <c r="H244" i="61"/>
  <c r="H243" i="61" s="1"/>
  <c r="H242" i="61" s="1"/>
  <c r="G244" i="61"/>
  <c r="J243" i="61"/>
  <c r="I243" i="61"/>
  <c r="I242" i="61" s="1"/>
  <c r="G243" i="61"/>
  <c r="J242" i="61"/>
  <c r="G242" i="61"/>
  <c r="F241" i="61"/>
  <c r="F240" i="61"/>
  <c r="J239" i="61"/>
  <c r="I239" i="61"/>
  <c r="H239" i="61"/>
  <c r="G239" i="61"/>
  <c r="F239" i="61"/>
  <c r="F238" i="61"/>
  <c r="F237" i="61"/>
  <c r="F236" i="61"/>
  <c r="F235" i="61"/>
  <c r="F234" i="61"/>
  <c r="F232" i="61" s="1"/>
  <c r="F233" i="61"/>
  <c r="J232" i="61"/>
  <c r="I232" i="61"/>
  <c r="H232" i="61"/>
  <c r="G232" i="61"/>
  <c r="F231" i="61"/>
  <c r="F230" i="61"/>
  <c r="F228" i="61" s="1"/>
  <c r="F229" i="61"/>
  <c r="J228" i="61"/>
  <c r="I228" i="61"/>
  <c r="H228" i="61"/>
  <c r="H227" i="61" s="1"/>
  <c r="H226" i="61" s="1"/>
  <c r="G228" i="61"/>
  <c r="J227" i="61"/>
  <c r="I227" i="61"/>
  <c r="I226" i="61" s="1"/>
  <c r="G227" i="61"/>
  <c r="J226" i="61"/>
  <c r="G226" i="61"/>
  <c r="F225" i="61"/>
  <c r="F224" i="61"/>
  <c r="F223" i="61"/>
  <c r="J222" i="61"/>
  <c r="I222" i="61"/>
  <c r="H222" i="61"/>
  <c r="G222" i="61"/>
  <c r="F222" i="61"/>
  <c r="F221" i="61"/>
  <c r="F220" i="61"/>
  <c r="F219" i="61"/>
  <c r="J218" i="61"/>
  <c r="I218" i="61"/>
  <c r="H218" i="61"/>
  <c r="G218" i="61"/>
  <c r="F218" i="61"/>
  <c r="F217" i="61"/>
  <c r="F216" i="61"/>
  <c r="F215" i="61"/>
  <c r="J214" i="61"/>
  <c r="J213" i="61" s="1"/>
  <c r="J212" i="61" s="1"/>
  <c r="I214" i="61"/>
  <c r="H214" i="61"/>
  <c r="G214" i="61"/>
  <c r="F214" i="61"/>
  <c r="F213" i="61" s="1"/>
  <c r="F212" i="61" s="1"/>
  <c r="I213" i="61"/>
  <c r="H213" i="61"/>
  <c r="G213" i="61"/>
  <c r="G212" i="61" s="1"/>
  <c r="I212" i="61"/>
  <c r="H212" i="61"/>
  <c r="F211" i="61"/>
  <c r="F210" i="61"/>
  <c r="F208" i="61" s="1"/>
  <c r="F209" i="61"/>
  <c r="J208" i="61"/>
  <c r="I208" i="61"/>
  <c r="H208" i="61"/>
  <c r="G208" i="61"/>
  <c r="F207" i="61"/>
  <c r="F206" i="61"/>
  <c r="F204" i="61" s="1"/>
  <c r="F205" i="61"/>
  <c r="J204" i="61"/>
  <c r="I204" i="61"/>
  <c r="H204" i="61"/>
  <c r="G204" i="61"/>
  <c r="F203" i="61"/>
  <c r="F202" i="61"/>
  <c r="F200" i="61" s="1"/>
  <c r="F199" i="61" s="1"/>
  <c r="F198" i="61" s="1"/>
  <c r="F201" i="61"/>
  <c r="J200" i="61"/>
  <c r="I200" i="61"/>
  <c r="H200" i="61"/>
  <c r="H199" i="61" s="1"/>
  <c r="G200" i="61"/>
  <c r="J199" i="61"/>
  <c r="I199" i="61"/>
  <c r="I198" i="61" s="1"/>
  <c r="G199" i="61"/>
  <c r="J198" i="61"/>
  <c r="G198" i="61"/>
  <c r="F197" i="61"/>
  <c r="J196" i="61"/>
  <c r="I196" i="61"/>
  <c r="H196" i="61"/>
  <c r="G196" i="61"/>
  <c r="F196" i="61"/>
  <c r="F195" i="61"/>
  <c r="F194" i="61"/>
  <c r="F193" i="61"/>
  <c r="F192" i="61"/>
  <c r="F191" i="61"/>
  <c r="F190" i="61"/>
  <c r="F187" i="61" s="1"/>
  <c r="F189" i="61"/>
  <c r="F188" i="61"/>
  <c r="J187" i="61"/>
  <c r="I187" i="61"/>
  <c r="I177" i="61" s="1"/>
  <c r="I176" i="61" s="1"/>
  <c r="H187" i="61"/>
  <c r="G187" i="61"/>
  <c r="F186" i="61"/>
  <c r="F185" i="61"/>
  <c r="F184" i="61"/>
  <c r="F183" i="61"/>
  <c r="F182" i="61"/>
  <c r="F181" i="61" s="1"/>
  <c r="J181" i="61"/>
  <c r="I181" i="61"/>
  <c r="H181" i="61"/>
  <c r="G181" i="61"/>
  <c r="G177" i="61" s="1"/>
  <c r="G176" i="61" s="1"/>
  <c r="F180" i="61"/>
  <c r="F179" i="61"/>
  <c r="J178" i="61"/>
  <c r="J177" i="61" s="1"/>
  <c r="J176" i="61" s="1"/>
  <c r="I178" i="61"/>
  <c r="H178" i="61"/>
  <c r="G178" i="61"/>
  <c r="F178" i="61"/>
  <c r="H177" i="61"/>
  <c r="H176" i="61"/>
  <c r="F175" i="61"/>
  <c r="F174" i="61"/>
  <c r="F173" i="61" s="1"/>
  <c r="J173" i="61"/>
  <c r="I173" i="61"/>
  <c r="H173" i="61"/>
  <c r="G173" i="61"/>
  <c r="F172" i="61"/>
  <c r="F171" i="61"/>
  <c r="F170" i="61"/>
  <c r="F169" i="61"/>
  <c r="F168" i="61"/>
  <c r="F167" i="61"/>
  <c r="F166" i="61"/>
  <c r="F164" i="61" s="1"/>
  <c r="F165" i="61"/>
  <c r="J164" i="61"/>
  <c r="I164" i="61"/>
  <c r="H164" i="61"/>
  <c r="H158" i="61" s="1"/>
  <c r="H157" i="61" s="1"/>
  <c r="G164" i="61"/>
  <c r="F163" i="61"/>
  <c r="F162" i="61"/>
  <c r="F159" i="61" s="1"/>
  <c r="F158" i="61" s="1"/>
  <c r="F157" i="61" s="1"/>
  <c r="F161" i="61"/>
  <c r="F160" i="61"/>
  <c r="J159" i="61"/>
  <c r="I159" i="61"/>
  <c r="I158" i="61" s="1"/>
  <c r="I157" i="61" s="1"/>
  <c r="H159" i="61"/>
  <c r="G159" i="61"/>
  <c r="J158" i="61"/>
  <c r="J157" i="61" s="1"/>
  <c r="G158" i="61"/>
  <c r="G157" i="61"/>
  <c r="F156" i="61"/>
  <c r="F155" i="61"/>
  <c r="J154" i="61"/>
  <c r="I154" i="61"/>
  <c r="H154" i="61"/>
  <c r="G154" i="61"/>
  <c r="F154" i="61"/>
  <c r="F153" i="61"/>
  <c r="F152" i="61"/>
  <c r="F151" i="61"/>
  <c r="F150" i="61"/>
  <c r="F149" i="61" s="1"/>
  <c r="J149" i="61"/>
  <c r="I149" i="61"/>
  <c r="H149" i="61"/>
  <c r="G149" i="61"/>
  <c r="F148" i="61"/>
  <c r="F147" i="61"/>
  <c r="J146" i="61"/>
  <c r="J145" i="61" s="1"/>
  <c r="J144" i="61" s="1"/>
  <c r="I146" i="61"/>
  <c r="H146" i="61"/>
  <c r="G146" i="61"/>
  <c r="F146" i="61"/>
  <c r="F145" i="61" s="1"/>
  <c r="F144" i="61" s="1"/>
  <c r="I145" i="61"/>
  <c r="H145" i="61"/>
  <c r="G145" i="61"/>
  <c r="G144" i="61" s="1"/>
  <c r="I144" i="61"/>
  <c r="H144" i="61"/>
  <c r="F143" i="61"/>
  <c r="F141" i="61"/>
  <c r="F140" i="61" s="1"/>
  <c r="J140" i="61"/>
  <c r="I140" i="61"/>
  <c r="H140" i="61"/>
  <c r="G140" i="61"/>
  <c r="F139" i="61"/>
  <c r="F138" i="61"/>
  <c r="J137" i="61"/>
  <c r="I137" i="61"/>
  <c r="H137" i="61"/>
  <c r="G137" i="61"/>
  <c r="F137" i="61"/>
  <c r="F136" i="61"/>
  <c r="F135" i="61"/>
  <c r="F134" i="61"/>
  <c r="J133" i="61"/>
  <c r="J132" i="61" s="1"/>
  <c r="J131" i="61" s="1"/>
  <c r="I133" i="61"/>
  <c r="H133" i="61"/>
  <c r="G133" i="61"/>
  <c r="F133" i="61"/>
  <c r="F132" i="61" s="1"/>
  <c r="F131" i="61" s="1"/>
  <c r="I132" i="61"/>
  <c r="H132" i="61"/>
  <c r="G132" i="61"/>
  <c r="G131" i="61" s="1"/>
  <c r="I131" i="61"/>
  <c r="H131" i="61"/>
  <c r="F130" i="61"/>
  <c r="F129" i="61"/>
  <c r="F128" i="61" s="1"/>
  <c r="J128" i="61"/>
  <c r="I128" i="61"/>
  <c r="H128" i="61"/>
  <c r="G128" i="61"/>
  <c r="F127" i="61"/>
  <c r="F126" i="61"/>
  <c r="F125" i="61"/>
  <c r="F124" i="61"/>
  <c r="F123" i="61"/>
  <c r="F122" i="61"/>
  <c r="F121" i="61"/>
  <c r="F120" i="61"/>
  <c r="F119" i="61"/>
  <c r="F118" i="61"/>
  <c r="F117" i="61"/>
  <c r="F116" i="61"/>
  <c r="F115" i="61"/>
  <c r="F114" i="61"/>
  <c r="F113" i="61"/>
  <c r="F112" i="61"/>
  <c r="F111" i="61"/>
  <c r="F110" i="61"/>
  <c r="F109" i="61"/>
  <c r="F108" i="61"/>
  <c r="F107" i="61"/>
  <c r="F106" i="61"/>
  <c r="J105" i="61"/>
  <c r="J97" i="61" s="1"/>
  <c r="J96" i="61" s="1"/>
  <c r="J8" i="61" s="1"/>
  <c r="I105" i="61"/>
  <c r="H105" i="61"/>
  <c r="G105" i="61"/>
  <c r="F105" i="61"/>
  <c r="F104" i="61"/>
  <c r="F103" i="61"/>
  <c r="F102" i="61"/>
  <c r="F101" i="61"/>
  <c r="F98" i="61" s="1"/>
  <c r="F100" i="61"/>
  <c r="F99" i="61"/>
  <c r="J98" i="61"/>
  <c r="I98" i="61"/>
  <c r="I97" i="61" s="1"/>
  <c r="I96" i="61" s="1"/>
  <c r="H98" i="61"/>
  <c r="G98" i="61"/>
  <c r="H97" i="61"/>
  <c r="G97" i="61"/>
  <c r="F97" i="61"/>
  <c r="F96" i="61" s="1"/>
  <c r="H96" i="61"/>
  <c r="G96" i="61"/>
  <c r="F95" i="61"/>
  <c r="F94" i="61" s="1"/>
  <c r="J94" i="61"/>
  <c r="I94" i="61"/>
  <c r="H94" i="61"/>
  <c r="G94" i="61"/>
  <c r="F93" i="61"/>
  <c r="F91" i="61" s="1"/>
  <c r="F81" i="61" s="1"/>
  <c r="F80" i="61" s="1"/>
  <c r="F92" i="61"/>
  <c r="J91" i="61"/>
  <c r="I91" i="61"/>
  <c r="H91" i="61"/>
  <c r="H81" i="61" s="1"/>
  <c r="H80" i="61" s="1"/>
  <c r="G91" i="61"/>
  <c r="F90" i="61"/>
  <c r="F89" i="61"/>
  <c r="F88" i="61"/>
  <c r="F87" i="61"/>
  <c r="F86" i="61"/>
  <c r="F85" i="61"/>
  <c r="F82" i="61" s="1"/>
  <c r="F84" i="61"/>
  <c r="F83" i="61"/>
  <c r="J82" i="61"/>
  <c r="I82" i="61"/>
  <c r="I81" i="61" s="1"/>
  <c r="I80" i="61" s="1"/>
  <c r="H82" i="61"/>
  <c r="G82" i="61"/>
  <c r="G81" i="61" s="1"/>
  <c r="J81" i="61"/>
  <c r="J80" i="61" s="1"/>
  <c r="G80" i="61"/>
  <c r="F79" i="61"/>
  <c r="F78" i="61"/>
  <c r="J77" i="61"/>
  <c r="J62" i="61" s="1"/>
  <c r="I77" i="61"/>
  <c r="H77" i="61"/>
  <c r="G77" i="61"/>
  <c r="F77" i="61"/>
  <c r="F76" i="61"/>
  <c r="F75" i="61"/>
  <c r="F74" i="61"/>
  <c r="F73" i="61"/>
  <c r="F72" i="61"/>
  <c r="F71" i="61"/>
  <c r="F70" i="61"/>
  <c r="F69" i="61"/>
  <c r="F68" i="61" s="1"/>
  <c r="J68" i="61"/>
  <c r="I68" i="61"/>
  <c r="H68" i="61"/>
  <c r="G68" i="61"/>
  <c r="F67" i="61"/>
  <c r="F66" i="61"/>
  <c r="F65" i="61"/>
  <c r="F64" i="61" s="1"/>
  <c r="F63" i="61" s="1"/>
  <c r="F62" i="61" s="1"/>
  <c r="J64" i="61"/>
  <c r="I64" i="61"/>
  <c r="H64" i="61"/>
  <c r="G64" i="61"/>
  <c r="G63" i="61" s="1"/>
  <c r="G62" i="61" s="1"/>
  <c r="J63" i="61"/>
  <c r="I63" i="61"/>
  <c r="H63" i="61"/>
  <c r="H62" i="61" s="1"/>
  <c r="I62" i="61"/>
  <c r="F61" i="61"/>
  <c r="F60" i="61" s="1"/>
  <c r="J60" i="61"/>
  <c r="I60" i="61"/>
  <c r="H60" i="61"/>
  <c r="G60" i="61"/>
  <c r="G49" i="61" s="1"/>
  <c r="F59" i="61"/>
  <c r="F58" i="61"/>
  <c r="F57" i="61"/>
  <c r="F55" i="61" s="1"/>
  <c r="F56" i="61"/>
  <c r="J55" i="61"/>
  <c r="I55" i="61"/>
  <c r="H55" i="61"/>
  <c r="G55" i="61"/>
  <c r="F54" i="61"/>
  <c r="F53" i="61"/>
  <c r="F51" i="61" s="1"/>
  <c r="F52" i="61"/>
  <c r="J51" i="61"/>
  <c r="I51" i="61"/>
  <c r="H51" i="61"/>
  <c r="G51" i="61"/>
  <c r="J50" i="61"/>
  <c r="I50" i="61"/>
  <c r="I49" i="61" s="1"/>
  <c r="G50" i="61"/>
  <c r="J49" i="61"/>
  <c r="F48" i="61"/>
  <c r="F47" i="61"/>
  <c r="J46" i="61"/>
  <c r="I46" i="61"/>
  <c r="H46" i="61"/>
  <c r="G46" i="61"/>
  <c r="F46" i="61"/>
  <c r="F45" i="61"/>
  <c r="F44" i="61"/>
  <c r="F43" i="61"/>
  <c r="F42" i="61"/>
  <c r="F41" i="61"/>
  <c r="F40" i="61"/>
  <c r="F39" i="61"/>
  <c r="F38" i="61"/>
  <c r="F37" i="61"/>
  <c r="F36" i="61"/>
  <c r="F35" i="61"/>
  <c r="F34" i="61"/>
  <c r="J33" i="61"/>
  <c r="J27" i="61" s="1"/>
  <c r="J26" i="61" s="1"/>
  <c r="I33" i="61"/>
  <c r="H33" i="61"/>
  <c r="G33" i="61"/>
  <c r="F33" i="61"/>
  <c r="F32" i="61"/>
  <c r="F31" i="61"/>
  <c r="F30" i="61"/>
  <c r="F29" i="61"/>
  <c r="F28" i="61" s="1"/>
  <c r="F27" i="61" s="1"/>
  <c r="F26" i="61" s="1"/>
  <c r="J28" i="61"/>
  <c r="I28" i="61"/>
  <c r="H28" i="61"/>
  <c r="G28" i="61"/>
  <c r="G27" i="61" s="1"/>
  <c r="G26" i="61" s="1"/>
  <c r="I27" i="61"/>
  <c r="H27" i="61"/>
  <c r="H26" i="61" s="1"/>
  <c r="I26" i="61"/>
  <c r="F25" i="61"/>
  <c r="F24" i="61" s="1"/>
  <c r="J24" i="61"/>
  <c r="I24" i="61"/>
  <c r="H24" i="61"/>
  <c r="G24" i="61"/>
  <c r="F23" i="61"/>
  <c r="F22" i="61"/>
  <c r="F21" i="61"/>
  <c r="F20" i="61" s="1"/>
  <c r="J20" i="61"/>
  <c r="I20" i="61"/>
  <c r="H20" i="61"/>
  <c r="G20" i="61"/>
  <c r="J19" i="61"/>
  <c r="I19" i="61"/>
  <c r="H19" i="61"/>
  <c r="F18" i="61"/>
  <c r="F17" i="61"/>
  <c r="F15" i="61" s="1"/>
  <c r="F16" i="61"/>
  <c r="J15" i="61"/>
  <c r="I15" i="61"/>
  <c r="H15" i="61"/>
  <c r="G15" i="61"/>
  <c r="F14" i="61"/>
  <c r="F13" i="61"/>
  <c r="F11" i="61" s="1"/>
  <c r="F12" i="61"/>
  <c r="J11" i="61"/>
  <c r="I11" i="61"/>
  <c r="H11" i="61"/>
  <c r="G11" i="61"/>
  <c r="J10" i="61"/>
  <c r="I10" i="61"/>
  <c r="G10" i="61"/>
  <c r="G17" i="60"/>
  <c r="F16" i="60"/>
  <c r="F15" i="60"/>
  <c r="J14" i="60"/>
  <c r="I14" i="60"/>
  <c r="H14" i="60"/>
  <c r="G14" i="60"/>
  <c r="F14" i="60"/>
  <c r="F10" i="60" s="1"/>
  <c r="F13" i="60"/>
  <c r="F12" i="60"/>
  <c r="J11" i="60"/>
  <c r="I11" i="60"/>
  <c r="I10" i="60" s="1"/>
  <c r="H11" i="60"/>
  <c r="G11" i="60"/>
  <c r="F11" i="60"/>
  <c r="J10" i="60"/>
  <c r="H10" i="60"/>
  <c r="H17" i="60" s="1"/>
  <c r="G10" i="60"/>
  <c r="H8" i="60"/>
  <c r="G8" i="60"/>
  <c r="F17" i="60" l="1"/>
  <c r="F8" i="60"/>
  <c r="J17" i="60"/>
  <c r="J8" i="60"/>
  <c r="H10" i="61"/>
  <c r="F19" i="61"/>
  <c r="I8" i="61"/>
  <c r="H50" i="61"/>
  <c r="H49" i="61" s="1"/>
  <c r="F50" i="61"/>
  <c r="F49" i="61" s="1"/>
  <c r="F286" i="61"/>
  <c r="F285" i="61" s="1"/>
  <c r="F308" i="61"/>
  <c r="F332" i="61"/>
  <c r="F331" i="61" s="1"/>
  <c r="F421" i="61"/>
  <c r="F420" i="61" s="1"/>
  <c r="F469" i="61"/>
  <c r="F468" i="61" s="1"/>
  <c r="F500" i="61"/>
  <c r="F499" i="61" s="1"/>
  <c r="G521" i="61"/>
  <c r="F524" i="61"/>
  <c r="F523" i="61" s="1"/>
  <c r="F177" i="61"/>
  <c r="F176" i="61" s="1"/>
  <c r="F227" i="61"/>
  <c r="F226" i="61" s="1"/>
  <c r="F257" i="61"/>
  <c r="F256" i="61" s="1"/>
  <c r="H521" i="61"/>
  <c r="I521" i="61"/>
  <c r="F569" i="61"/>
  <c r="F568" i="61" s="1"/>
  <c r="I17" i="60"/>
  <c r="I8" i="60"/>
  <c r="F10" i="61"/>
  <c r="G19" i="61"/>
  <c r="G8" i="61" s="1"/>
  <c r="G1449" i="61" s="1"/>
  <c r="H198" i="61"/>
  <c r="F242" i="61"/>
  <c r="F281" i="61"/>
  <c r="F279" i="61" s="1"/>
  <c r="F275" i="61" s="1"/>
  <c r="F274" i="61" s="1"/>
  <c r="F916" i="61"/>
  <c r="F915" i="61" s="1"/>
  <c r="F913" i="61" s="1"/>
  <c r="J927" i="61"/>
  <c r="J1449" i="61" s="1"/>
  <c r="G927" i="61"/>
  <c r="G999" i="61"/>
  <c r="I1025" i="61"/>
  <c r="I1024" i="61" s="1"/>
  <c r="I999" i="61" s="1"/>
  <c r="F1025" i="61"/>
  <c r="F1024" i="61" s="1"/>
  <c r="H999" i="61"/>
  <c r="F628" i="61"/>
  <c r="F703" i="61"/>
  <c r="F718" i="61"/>
  <c r="F808" i="61"/>
  <c r="F883" i="61"/>
  <c r="F898" i="61"/>
  <c r="F1189" i="61"/>
  <c r="F1188" i="61" s="1"/>
  <c r="F1186" i="61" s="1"/>
  <c r="I1402" i="61"/>
  <c r="F944" i="61"/>
  <c r="F943" i="61" s="1"/>
  <c r="F942" i="61" s="1"/>
  <c r="F927" i="61" s="1"/>
  <c r="F1112" i="61"/>
  <c r="F1108" i="61" s="1"/>
  <c r="F1107" i="61" s="1"/>
  <c r="F1178" i="61"/>
  <c r="F1174" i="61" s="1"/>
  <c r="F1173" i="61" s="1"/>
  <c r="F1171" i="61" s="1"/>
  <c r="G1219" i="61"/>
  <c r="G1218" i="61" s="1"/>
  <c r="G1216" i="61" s="1"/>
  <c r="F1220" i="61"/>
  <c r="F1219" i="61" s="1"/>
  <c r="F1218" i="61" s="1"/>
  <c r="F1216" i="61" s="1"/>
  <c r="F1322" i="61"/>
  <c r="F1312" i="61" s="1"/>
  <c r="F1311" i="61" s="1"/>
  <c r="F1309" i="61" s="1"/>
  <c r="G1343" i="61"/>
  <c r="G1342" i="61" s="1"/>
  <c r="G1340" i="61" s="1"/>
  <c r="F1344" i="61"/>
  <c r="F1343" i="61" s="1"/>
  <c r="F1342" i="61" s="1"/>
  <c r="F1340" i="61" s="1"/>
  <c r="F1446" i="61"/>
  <c r="F956" i="61"/>
  <c r="F955" i="61" s="1"/>
  <c r="I1149" i="61"/>
  <c r="I1147" i="61" s="1"/>
  <c r="G1280" i="61"/>
  <c r="G1278" i="61" s="1"/>
  <c r="G1404" i="61"/>
  <c r="G1402" i="61" s="1"/>
  <c r="F1406" i="61"/>
  <c r="F1405" i="61" s="1"/>
  <c r="F1404" i="61" s="1"/>
  <c r="F967" i="61"/>
  <c r="F966" i="61" s="1"/>
  <c r="J999" i="61"/>
  <c r="F1104" i="61"/>
  <c r="F1065" i="61" s="1"/>
  <c r="F1434" i="61"/>
  <c r="F999" i="61" l="1"/>
  <c r="H8" i="61"/>
  <c r="H1449" i="61" s="1"/>
  <c r="F1433" i="61"/>
  <c r="F1402" i="61" s="1"/>
  <c r="F521" i="61"/>
  <c r="F8" i="61"/>
  <c r="I1449" i="61"/>
  <c r="F1449" i="61" l="1"/>
  <c r="D182" i="59" l="1"/>
  <c r="E24" i="59"/>
  <c r="E23" i="59"/>
  <c r="E22" i="59" s="1"/>
  <c r="G22" i="59"/>
  <c r="G21" i="59" s="1"/>
  <c r="F22" i="59"/>
  <c r="F21" i="59"/>
  <c r="F25" i="59" s="1"/>
  <c r="E21" i="59"/>
  <c r="E20" i="59"/>
  <c r="E19" i="59"/>
  <c r="E18" i="59" s="1"/>
  <c r="G18" i="59"/>
  <c r="G17" i="59" s="1"/>
  <c r="F18" i="59"/>
  <c r="F17" i="59"/>
  <c r="E17" i="59"/>
  <c r="E16" i="59"/>
  <c r="E15" i="59"/>
  <c r="E14" i="59" s="1"/>
  <c r="G14" i="59"/>
  <c r="G13" i="59" s="1"/>
  <c r="F14" i="59"/>
  <c r="F13" i="59"/>
  <c r="E13" i="59"/>
  <c r="E12" i="59"/>
  <c r="E11" i="59"/>
  <c r="E10" i="59" s="1"/>
  <c r="E9" i="59" s="1"/>
  <c r="E25" i="59" s="1"/>
  <c r="G10" i="59"/>
  <c r="G9" i="59" s="1"/>
  <c r="F10" i="59"/>
  <c r="F9" i="59"/>
  <c r="E8" i="59"/>
  <c r="E7" i="59"/>
  <c r="E6" i="59" s="1"/>
  <c r="G6" i="59"/>
  <c r="G5" i="59" s="1"/>
  <c r="F6" i="59"/>
  <c r="F5" i="59"/>
  <c r="E5" i="59"/>
  <c r="G25" i="59" l="1"/>
  <c r="G43" i="54" l="1"/>
  <c r="H41" i="54"/>
  <c r="G40" i="54"/>
  <c r="E32" i="54"/>
  <c r="E37" i="54"/>
  <c r="F30" i="37" l="1"/>
  <c r="F20" i="55"/>
  <c r="H37" i="54"/>
  <c r="G37" i="54"/>
  <c r="E20" i="55" l="1"/>
  <c r="G7" i="41" l="1"/>
  <c r="E9" i="41"/>
  <c r="F22" i="37" l="1"/>
  <c r="F33" i="37" s="1"/>
  <c r="E10" i="41" l="1"/>
  <c r="E8" i="41"/>
  <c r="E7" i="41" s="1"/>
  <c r="F7" i="41"/>
  <c r="E14" i="54" l="1"/>
  <c r="E20" i="54"/>
  <c r="E22" i="54"/>
  <c r="E23" i="54"/>
  <c r="H16" i="54"/>
  <c r="H15" i="54"/>
  <c r="H14" i="54"/>
  <c r="E29" i="54" l="1"/>
  <c r="E26" i="54"/>
  <c r="E31" i="54" l="1"/>
  <c r="E25" i="54" l="1"/>
  <c r="E24" i="54"/>
  <c r="E13" i="54"/>
  <c r="E12" i="54"/>
  <c r="E11" i="54"/>
  <c r="E7" i="54"/>
  <c r="F11" i="41" l="1"/>
  <c r="G11" i="41"/>
  <c r="E12" i="41"/>
  <c r="F49" i="37"/>
  <c r="F50" i="37" s="1"/>
  <c r="F27" i="37"/>
  <c r="E11" i="41" l="1"/>
  <c r="F13" i="41" l="1"/>
  <c r="F15" i="41" s="1"/>
  <c r="G13" i="41"/>
  <c r="G15" i="41" s="1"/>
  <c r="E14" i="41"/>
  <c r="E13" i="41" s="1"/>
  <c r="E15" i="41" s="1"/>
  <c r="C17" i="44" l="1"/>
  <c r="C7" i="44"/>
  <c r="C4" i="44" l="1"/>
  <c r="D4" i="44"/>
  <c r="D7" i="44"/>
  <c r="C15" i="44"/>
  <c r="D15" i="44"/>
  <c r="D17" i="44"/>
  <c r="C22" i="44"/>
  <c r="D22" i="44"/>
  <c r="F7" i="42"/>
  <c r="F9" i="42" s="1"/>
  <c r="G7" i="42"/>
  <c r="G9" i="42" s="1"/>
  <c r="E8" i="42"/>
  <c r="E7" i="42" s="1"/>
  <c r="E9" i="42" s="1"/>
  <c r="D6" i="40"/>
  <c r="E6" i="40"/>
  <c r="F13" i="37"/>
  <c r="F16" i="37"/>
  <c r="F32" i="37"/>
  <c r="C24" i="44" l="1"/>
  <c r="D24" i="44"/>
</calcChain>
</file>

<file path=xl/sharedStrings.xml><?xml version="1.0" encoding="utf-8"?>
<sst xmlns="http://schemas.openxmlformats.org/spreadsheetml/2006/main" count="5171" uniqueCount="1130">
  <si>
    <t>Dział</t>
  </si>
  <si>
    <t>Rozdział</t>
  </si>
  <si>
    <t>w tym:</t>
  </si>
  <si>
    <t>75075</t>
  </si>
  <si>
    <t>750</t>
  </si>
  <si>
    <t>Paragraf</t>
  </si>
  <si>
    <t>Promocja jednostek samorządu terytorialnego</t>
  </si>
  <si>
    <t>600</t>
  </si>
  <si>
    <t>60003</t>
  </si>
  <si>
    <t>2630</t>
  </si>
  <si>
    <t>921</t>
  </si>
  <si>
    <t>92116</t>
  </si>
  <si>
    <t>Biblioteki</t>
  </si>
  <si>
    <t>2330</t>
  </si>
  <si>
    <t>dotacje na zadania bieżące</t>
  </si>
  <si>
    <t>Lp.</t>
  </si>
  <si>
    <t>DOCHODY OGÓŁEM</t>
  </si>
  <si>
    <t>KULTURA I OCHRONA DZIEDZICTWA NARODOWEGO</t>
  </si>
  <si>
    <t>ADMINISTRACJA PUBLICZNA</t>
  </si>
  <si>
    <t>majątkowe</t>
  </si>
  <si>
    <t>bieżące</t>
  </si>
  <si>
    <t>w złotych</t>
  </si>
  <si>
    <t>OGÓŁEM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</si>
  <si>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</si>
  <si>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</si>
  <si>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</si>
  <si>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</si>
  <si>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</si>
  <si>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</si>
  <si>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</si>
  <si>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</si>
  <si>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</si>
  <si>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</si>
  <si>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</si>
  <si>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</si>
  <si>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</si>
  <si>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</si>
  <si>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</si>
  <si>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</si>
  <si>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Wojewódzki Szpital im. Jana Pawła II w Krośnie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</si>
  <si>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</si>
  <si>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</si>
  <si>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</si>
  <si>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</si>
  <si>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</si>
  <si>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</si>
  <si>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</si>
  <si>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</si>
  <si>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</si>
  <si>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</si>
  <si>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</si>
  <si>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</si>
  <si>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</si>
  <si>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</si>
  <si>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</si>
  <si>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</si>
  <si>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>Muzeum Zamek w Łańcucie</t>
  </si>
  <si>
    <t xml:space="preserve">SZCZEGÓŁOWY PODZIAŁ DOTACJI PODMIOTOWYCH  
DLA JEDNOSTEK SEKTORA FINANSÓW PUBLICZNYCH I JEDNOSTKEK SPOZA SEKTORA FINANSÓW PUBLICZNYCH  </t>
  </si>
  <si>
    <t>w tym wydatki:</t>
  </si>
  <si>
    <t>w  złotych</t>
  </si>
  <si>
    <t xml:space="preserve">OGÓŁEM </t>
  </si>
  <si>
    <t xml:space="preserve">Wydatki  bieżące </t>
  </si>
  <si>
    <t xml:space="preserve">Zakres </t>
  </si>
  <si>
    <t>w  tym :  DOTACJE</t>
  </si>
  <si>
    <t xml:space="preserve"> WYKAZ DOTACJI  PRZEDMIOTOWYCH DLA JEDNOSTEK SPOZA SEKTORA FINANSÓW PUBLICZNYCH</t>
  </si>
  <si>
    <t>WYDATKI OGÓŁEM</t>
  </si>
  <si>
    <t>Przeznaczenie</t>
  </si>
  <si>
    <t>Jednostka samorządu</t>
  </si>
  <si>
    <t>Nazwa</t>
  </si>
  <si>
    <t>Realizacja  porozumienia dotyczącego dofinansowania zadań związanych z funkcjonowaniem Domu Polski Wschodniej w Brukseli</t>
  </si>
  <si>
    <t>Województwo Warmińsko-Mazurskie</t>
  </si>
  <si>
    <t xml:space="preserve">WYKAZ DOTACJI CELOWYCH NA ZADANIA POWIERZONE DO REALIZACJI 
INNYM JEDNOSTKOM SAMORZĄDU TERYTORIALNEGO </t>
  </si>
  <si>
    <t>.</t>
  </si>
  <si>
    <t>KULTURA I OCHRONA 
DZIEDZICTWA NARODOWEGO</t>
  </si>
  <si>
    <t>pozostałe 
wydatki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</si>
  <si>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</si>
  <si>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</si>
  <si>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</si>
  <si>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</si>
  <si>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</si>
  <si>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</si>
  <si>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</si>
  <si>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</si>
  <si>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</si>
  <si>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 xml:space="preserve">       OGÓŁEM </t>
  </si>
  <si>
    <t>Rozdział 85410</t>
  </si>
  <si>
    <t xml:space="preserve">Biblioteka  Pedagogiczna  w  Tarnobrzegu  </t>
  </si>
  <si>
    <t>Pedagogiczna  Biblioteka  Wojewódzka  w  Przemyślu</t>
  </si>
  <si>
    <t>Pedagogiczna  Biblioteka  Wojewódzka  w  Krośnie</t>
  </si>
  <si>
    <t>Pedagogiczna  Biblioteka  Wojewódzka  w Rzeszowie</t>
  </si>
  <si>
    <t>Rozdział 80147</t>
  </si>
  <si>
    <t>Podkarpacke Centrum Edukacji  Nauczycieli w Rzeszowie</t>
  </si>
  <si>
    <t>Rozdział 80146</t>
  </si>
  <si>
    <t>Rozdział 80130</t>
  </si>
  <si>
    <t>Zespół  Szkół  Specjalnych  w  Rymanowie  Zdroju</t>
  </si>
  <si>
    <t>Rozdział 80102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</si>
  <si>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</si>
  <si>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</si>
  <si>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</si>
  <si>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</si>
  <si>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Zakład Aktywności Zawodowej w Starych Oleszycach</t>
  </si>
  <si>
    <t>Medyczno-Społeczne Centrum Kształcenia Zawodowego 
i Ustawicznego w Rzeszowie</t>
  </si>
  <si>
    <t>Medyczno-Społeczne Centrum Kształcenia Zawodowego 
i Ustawicznego w Stalowej  Woli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</si>
  <si>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</si>
  <si>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</si>
  <si>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</si>
  <si>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</si>
  <si>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</si>
  <si>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 xml:space="preserve">Wojewódzki Szpital im. Św. Ojca Pio w Przemyślu  </t>
  </si>
  <si>
    <t xml:space="preserve">Dopłaty do krajowych autobusowych przewozów pasażerskich z tytułu stosowania w tych przewozach obowiązujacych ulg ustawowych </t>
  </si>
  <si>
    <t>Medyczno-Społeczne Centrum Kształcenia Zawodowego 
i Ustawicznego  w  Rzeszowie</t>
  </si>
  <si>
    <t xml:space="preserve">Zespół Szkół  przy Klinicznym Szpitalu Wojewódzkim Nr 2 w  Rzeszowie                 </t>
  </si>
  <si>
    <t>Zakład Aktywności Zawodowej Nr 1 w Krośnie</t>
  </si>
  <si>
    <t xml:space="preserve">Zakład Aktywności Zawodowej Nr 2 w Krośnie </t>
  </si>
  <si>
    <t>Zakład Aktywności Zawodowej w Rzeszowie (ul. Rejtana 10)</t>
  </si>
  <si>
    <t>Zakład Aktywności Zawodowej w Rzeszowie (ul. Rejtana 21)</t>
  </si>
  <si>
    <t>Zakład Aktywności Zawodowej w Jaśle</t>
  </si>
  <si>
    <t xml:space="preserve">Kliniczny Szpital Wojewódzki Nr 2 im. Św. Jadwigi Królowej w Rzeszowie </t>
  </si>
  <si>
    <t>92118</t>
  </si>
  <si>
    <t>Powiat Sanocki</t>
  </si>
  <si>
    <t>Muzea</t>
  </si>
  <si>
    <t>WYDATKI  NA  POMOC  FINANSOWĄ  UDZIELANĄ  INNYM  JEDNOSTKOM  SAMORZĄDU  TERYTORIALNEGO
NA  DOFINANSOWANIE  WŁASNYCH ZADAŃ BIEŻĄCYCH ORAZ ZADAŃ INWESTYCYJNYCH I ZAKUPÓW INWESTYCYJNYCH</t>
  </si>
  <si>
    <t>010</t>
  </si>
  <si>
    <t>01009</t>
  </si>
  <si>
    <t>01042</t>
  </si>
  <si>
    <t>01095</t>
  </si>
  <si>
    <t>60001</t>
  </si>
  <si>
    <t>60014</t>
  </si>
  <si>
    <t>60016</t>
  </si>
  <si>
    <t>Drogi publiczne gminne</t>
  </si>
  <si>
    <t>630</t>
  </si>
  <si>
    <t>63003</t>
  </si>
  <si>
    <t>754</t>
  </si>
  <si>
    <t>75404</t>
  </si>
  <si>
    <t>75406</t>
  </si>
  <si>
    <t>75410</t>
  </si>
  <si>
    <t>851</t>
  </si>
  <si>
    <t>85153</t>
  </si>
  <si>
    <t>85154</t>
  </si>
  <si>
    <t>852</t>
  </si>
  <si>
    <t>85205</t>
  </si>
  <si>
    <t>85217</t>
  </si>
  <si>
    <t>853</t>
  </si>
  <si>
    <t>85311</t>
  </si>
  <si>
    <t>900</t>
  </si>
  <si>
    <t>90005</t>
  </si>
  <si>
    <t>Ochrona powietrza atmosferycznego i klimatu</t>
  </si>
  <si>
    <t>92105</t>
  </si>
  <si>
    <t>92120</t>
  </si>
  <si>
    <t>926</t>
  </si>
  <si>
    <t>92605</t>
  </si>
  <si>
    <t>TRANSPORT I ŁĄCZNOŚĆ</t>
  </si>
  <si>
    <t>GOSPODARKA KOMUNALNA I OCHRONA ŚRODOWISKA</t>
  </si>
  <si>
    <t>Wojewódzki Zespół Specjalistyczny w Rzeszowie</t>
  </si>
  <si>
    <t>Gmina Rymanów</t>
  </si>
  <si>
    <t xml:space="preserve">SZCZEGÓŁOWY PODZIAŁ DOTACJI CELOWYCH Z BUDŻETU DLA JEDNOSTEK SEKTORA FINANSÓW PUBLICZNYCH </t>
  </si>
  <si>
    <t>Przeznaczenie dotacji</t>
  </si>
  <si>
    <t>Jednostki samorządu terytorialnego wg podziału dokonanego przez Zarząd</t>
  </si>
  <si>
    <t xml:space="preserve">Dotacje dla gmin z przeznaczeniem na modernizację dróg dojazdowych do gruntów rolnych </t>
  </si>
  <si>
    <t>Dotacje celowe dla gmin z przeznaczeniem na budowę i modernizację dróg dojazdowych do gruntów rolnych</t>
  </si>
  <si>
    <t>Komenda Wojewódzka Policji 
w Rzeszowie</t>
  </si>
  <si>
    <t>Bieszczadzki Oddział Straży Granicznej w Przemyślu</t>
  </si>
  <si>
    <t>Wpłata na Fundusz Wsparcia Bieszczadzkiego Oddziału Straży Granicznej w Przemyślu z przeznaczeniem na zakup sprzętu i wyposażenia specjalistycznego</t>
  </si>
  <si>
    <t>Komenda Wojewódzka Państwowej Staży Pożarnej w Rzeszowie</t>
  </si>
  <si>
    <t>Wpłata na Wojewódzki Fundusz  Wsparcia Państwowej  Straży Pożarnej  z przeznaczeniem na zakup sprzętu i wyposażenia specjalistycznego</t>
  </si>
  <si>
    <t xml:space="preserve">Filharmonia Podkarpacka im. Artura Malawskiego w Rzeszowie </t>
  </si>
  <si>
    <t xml:space="preserve">Wojewódzki Dom Kultury w Rzeszowie </t>
  </si>
  <si>
    <t>Wojewódzka i Miejska Biblioteka Publiczna w Rzeszowie</t>
  </si>
  <si>
    <t>Muzeum Budownictwa Ludowego 
w Sanoku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</si>
  <si>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</si>
  <si>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w  tym :  
DOTACJE</t>
  </si>
  <si>
    <t>na zadania w zakresie bieżącego utrzymania wód i urządzeń wodnych dla spółek wodnych  funkcjonujących na terenie województwa podkarpackiego</t>
  </si>
  <si>
    <t>na rekompensatę  z tytułu wykonywania kolejowych przewozów osób</t>
  </si>
  <si>
    <t>na zadania i cele publiczne z zakresu upowszechniania turystyki</t>
  </si>
  <si>
    <t xml:space="preserve">na zadania i cele publiczne z zakresu ratownictwa górskiego i wodnego </t>
  </si>
  <si>
    <t>na zadania i cele publiczne z zakresu przeciwdziałania narkomanii w ramach "Wojewódzkiego Programu Przeciwdziałania Narkomanii"</t>
  </si>
  <si>
    <t xml:space="preserve">na zadania i cele publiczne z zakresu wychowania w trzeźwości i przeciwdziałania alkoholizmowi  w ramach "Wojewódzkiego Programu Profilaktyki i Rozwiązywania Problemów Alkoholowych" </t>
  </si>
  <si>
    <t>na zadania i cele z zakresu przeciwdziałania przemocy w rodzinie w ramach "Wojewódzkiego Programu Przeciwdziałania Przemocy w Rodzinie"</t>
  </si>
  <si>
    <t xml:space="preserve">na zadania i cele z zakresu wspierania rodziny i systemu pieczy zastępczej w ramach "Wojewódzkiego Programu Wspierania Rodziny i Systemu Pieczy Zastępczej" </t>
  </si>
  <si>
    <t>na zadania i cele z zakresu pomocy społecznej w ramach "Wojewódzkiego Programu Pomocy Społecznej"</t>
  </si>
  <si>
    <t>na zadania i cele z zakresu rehabilitacji zawodowej i społecznej oraz zatrudniania osób niepełnosprawnych w ramach "Wojewódzkiego Programu na Rzecz Wyrównywania Szans Osób Niepełnosprawnych i Przeciwdziałania ich Wykluczeniu Społecznemu"</t>
  </si>
  <si>
    <t xml:space="preserve">na zadania i cele publiczne z zakresu kultury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</si>
  <si>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</si>
  <si>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fizycznej i sportu </t>
  </si>
  <si>
    <t xml:space="preserve">Wpłata na Wojewódzki Fundusz Wsparcia Policji z przeznaczeniem na zakup sprzętu i wyposażenia specjalistycznego </t>
  </si>
  <si>
    <t>Dofinansowanie bieżącej działalności statutowej Muzeum Historycznego w Sanoku w zakresie gromadzenia, przechowywania i udostępniania zbiorów</t>
  </si>
  <si>
    <t>Realizację zadania inwestycyjnych pn.: Zakup i montaż klimatyzatorów dla Sali Widowiskowej i pomieszczeń biurowych poddasza</t>
  </si>
  <si>
    <t xml:space="preserve">Realizacja wskazanych zadań i programów:
1) Międzynarodowy Festiwal Jazzowy "JAZZ BEZ…" – 20.000,-zł,
2)  Biesiadę Teatralną – Konfrontacje Zespołów Teatralnych Małych Form w Horyńcu Zdroju – 30.000,-zł,
3) współorganizację Festiwalu Kultury Rzeczpospolitej - 50.000,-zł.
4) 39. Ogólnopolski Festiwal Kapel Podwórkowych im. Jerzego Janickiego - 20.000,-zł. </t>
  </si>
  <si>
    <t>Realizacja wskazanych zadań i programów: organizacja imprezy pn. Festiwal Żarnowiec 2017</t>
  </si>
  <si>
    <t>Realizacja zadań inwestycyjnych pn.: 
1) Zakup aparatury diagnostycznej dla wczesnego wykrywania nowotworów w zakresie zakupu tomografów komputerowych - 79.552,-zł,
2) Doposażenie zakładów radioterapii w Polsce - 397.760,-zł,
3) Modernizacja, rozbudowa, nadbudowa budynku "E" wraz z zakupem wyposażania dla Oddziału Psychiatrycznego - 497.200,-zł.</t>
  </si>
  <si>
    <t>Wojewódzki Szpital Podkarpacki im. Jana Pawła II w Krośnie</t>
  </si>
  <si>
    <t xml:space="preserve">Wojewódzki Szpital im. Zofii z Zamoyskich Tarnowskiej w Tarnobrzegu </t>
  </si>
  <si>
    <t xml:space="preserve">Wojewódzki Szpital im. Św. Ojca Pio w Przemyślu </t>
  </si>
  <si>
    <t>Realizacja zadania inwestycyjnego pn.: Przebudowa pomieszczeń w budynku warsztatowo – biurowym na pomieszczenia biurowe wydatek niekwalifikowany w projekcie „Koordynowana opieka kardiologiczna w Wojewódzkim Szpitalu im. św. Ojca Pio w Przemyślu</t>
  </si>
  <si>
    <t xml:space="preserve">Szpital  Wojewódzki OLK w Przemyślu </t>
  </si>
  <si>
    <t xml:space="preserve">Specjalistyczny Psychiatryczny Zespół Opieki Zdrowotnej im. prof. 
A.  Kępińskiego w Jarosławiu </t>
  </si>
  <si>
    <t xml:space="preserve">Wojewódzki Podkarpacki Szpital Psychiatryczny im. prof. Eugeniusza Brzezickiego w Żurawicy </t>
  </si>
  <si>
    <t>Realizacja zadania inwestycyjnego pn.: Modernizacja elektrowni zakładowej</t>
  </si>
  <si>
    <t>Realizacja zadania inwestycyjnego pn.: Adaptacja budynku garażowego na pomieszczenie na odpady medyczne</t>
  </si>
  <si>
    <t>Realizacja zadania inwestycyjnego pn.: Modernizacja i przebudowa poziomów i pionów wody zimnej, ciepłej i cyrkulacji w budynku Wojewódzkiego Zespołu Specjalistycznego w Rzeszowie przy ul. Hetmańskiej 120</t>
  </si>
  <si>
    <t>Realizacja zadania inwestycyjnego pn.: Zakup analizatora hematologicznego do Laboratorium Diagnostyki Laboratoryjnej i Toksykologii Wojewódzkiego Ośrodka Medycyny Pracy w Rzeszowie</t>
  </si>
  <si>
    <t xml:space="preserve">Drogi publiczne powiatowe </t>
  </si>
  <si>
    <t xml:space="preserve">Współfinansowanie realizacji zadania własnego polegającego na zachowaniu funkcji leczniczych uzdrowiska Rymanów Zdrój - bieżąca obsługa i eksploatacja stacji monitoringu powietrza </t>
  </si>
  <si>
    <t>Realizację zadania inwestycyjnych pn.: Zakup pojazdu użytkowego (osobowo - bagażowego) o napędzie elektrycznym typu "Melex"</t>
  </si>
  <si>
    <t>Realizacja wskazanych zadań i programów:
1) VII Karpacki Festiwal Archeologiczny „Dwa Oblicza” – Trzcinica 2017 – 150.000 zł,
2) wkład własny do zadania pn. Rewaloryzacja i modernizacja zabytkowych budynków Muzeum Podkarpackiego w Krośnie dla zachowania i prezentacji unikatowego dziedzictwa kulturowego regionu - 217.500,-zł</t>
  </si>
  <si>
    <t>Realizacja wskazanych zadań i programów:
1) Dyskusyjne Kluby Książki – 30.000,-zł,
2) „Wykonywanie zadań powiatowej biblioteki publicznej dla Powiatu Rzeszowskiego” – 73.000,-zł</t>
  </si>
  <si>
    <t>Realizację zadania inwestycyjnych pn.:  Zakup ciągnika rolniczego z przyczepą</t>
  </si>
  <si>
    <t>Realizacja wskazanych zadań i programów: 
1) Rzeszowskie Spotkania Teatralne Festiwal Nowego Teatru - 100.000,-zł,
2) Rzeszowskie Spotkania Karnawałowe – 100.000,-zł</t>
  </si>
  <si>
    <t>Gmina Trzebownisko</t>
  </si>
  <si>
    <t xml:space="preserve">Budowa parkingu dla potrzeb Centrum Wystawienniczo-Kongresowego Województwa Podkarpackiego" </t>
  </si>
  <si>
    <t xml:space="preserve">Powiat Ropczycko -  Sędziszowski </t>
  </si>
  <si>
    <t>Powiat Rzeszowski</t>
  </si>
  <si>
    <t>1) Rozbudowa łącznika drogi ekspresowej S-19 – drogi powiatowej na odcinku od węzła Rzeszów – Południe do drogi krajowej Nr 19” - 300.000,-zł,
2) Rozbudowa łącznika autostrady A4 – drogi powiatowej na odcinku od granic miasta Rzeszowa do węzła Rzeszów – Północ” – etap I - 300.000,-zł.</t>
  </si>
  <si>
    <t>Rozbudowa łącznika autostrady A4 (węzeł Sędziszów Małopolski) z drogą krajową Nr 94 wraz z niezbędną infrastrukturą techniczną, budowlami i urządzeniami budowlanymi” – etap I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</si>
  <si>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II"</t>
  </si>
  <si>
    <t>855</t>
  </si>
  <si>
    <t>85504</t>
  </si>
  <si>
    <t>85510</t>
  </si>
  <si>
    <t>Realizację zadania inwestycyjnych pn.: wkład własny do zadania pn. Rewaloryzacja i modernizacja zabytkowych budynków Muzeum Podkarpackiego w Krośnie dla zachowania i prezentacji unikatowego dziedzictwa kulturowego regionu - 30.000,-zł</t>
  </si>
  <si>
    <t>Realizacja wskazanych zadań i programów: realizacja VIII edycji Festiwalu „Zaklęte w Drewnie"</t>
  </si>
  <si>
    <t>Dotacje celowe dla powiatów z przeznaczeniem na zakup sprzętu pomiarowego i informatycznego oraz oprogramowania niezbędnego do prowadzenia spraw ochrony gruntów rolnych</t>
  </si>
  <si>
    <t>Realizacja wskazanych zadań i programów: organizacja XX Międzynarodowego Pleneru Artystycznego Bolestraszyce - Tarnobrzeg 2017</t>
  </si>
  <si>
    <t>Realizacja wskazanych zadań i programów:  
1) opracowanie redakcyjne i druk „Podkarpackiego Informatora Kulturalnego” oraz łamanie i druk „Kalendarza Imprez Kulturalnych” – 80.000,- zł,
2) Podkarpacka Jesień Jazzową – 25.000,-zł,
3) XVII Światowy Festiwal Polonijnych Zespołów Folklorystycznych – 300.000,- zł,
4) Podkarpacki Regionalny Fundusz Filmowy – 400.000,- zł,
5) Festiwal Psalmów Dawidowych "Honorując Sprawiedliwych" – 100.000,- zł</t>
  </si>
  <si>
    <t>Realizacja wskazanych zadań i programów:
a) Muzyczny Festiwal w Łańcucie – 400.000,-zł,
b) cykl koncertów pn. „Przestrzeń otwarta dla muzyki” w podkarpackich obiektach wpisanych na Listę Światowego Dziedzictwa UNESCO - 100.000,-zł</t>
  </si>
  <si>
    <t xml:space="preserve">Realizacja zadania inwestycyjnego pn.: Adaptacja pomieszczeń dla potrzeb Rezonansu magnetycznego i pomieszczeń pracowni RTG wraz z pracami projektowymi i dostawą urządzeń medycznych </t>
  </si>
  <si>
    <t>Kliniczny Szpital Wojewódzki Nr 1 im. Fryderyka Chopina w Rzeszowie</t>
  </si>
  <si>
    <t>Realizacja zadań inwestycyjnych pn.: 
1) Utworzenie Kliniki Pediatrii,  Endokrynologii i  Diabetologii Dziecięcej w Klinicznym Szpitalu Wojewódzkim Nr 2 im. Św. Jadwigi Królowej w Rzeszowie - 338.934,-zł,
2) Dostosowanie Klinicznego Szpitala Wojewódzkiego Nr 2 im. Świętej Jadwigi Królowej w Rzeszowie na potrzeby funkcjonowania centrum urazowego - 300.000,-zł,
3) Przebudowa Pionu Położniczo Ginekologicznego wraz z traktem porodowym w celu utworzenia Ośrodka Perinatologii (III etap) - 1.686.230,-zł</t>
  </si>
  <si>
    <t xml:space="preserve">Realizacja zadania inwestycyjnego pn.: Przebudowa budynku nr 2/3493 w Szpitalu Wojewódzkim OLK w Przemyślu w celu dostosowania dróg ewakuacyjnych obiektu do wymagań p.poż. </t>
  </si>
  <si>
    <t>Teatr im. W. Siemaszkowej 
w Rzeszowie</t>
  </si>
  <si>
    <t>Realizacja zadań inwestycyjnych pn.: 
1) Przebudowa systemu zasilania Szpitala w energię elektryczną – etap IV - 254.904,-zł,
2) Przebudowa istniejącej sieci wodociągowej Szpitala przy ul. Korczyńskiej – etap IV - 274.512,-zł</t>
  </si>
  <si>
    <t>cd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</si>
  <si>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</si>
  <si>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</si>
  <si>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ROLNICTWO I ŁOWIECTWO</t>
  </si>
  <si>
    <t>01008</t>
  </si>
  <si>
    <t>Melioracje wodne</t>
  </si>
  <si>
    <t>Krajowe pasażerskie przewozy autobusowe</t>
  </si>
  <si>
    <t>60095</t>
  </si>
  <si>
    <t>Pozostała działalność</t>
  </si>
  <si>
    <t>710</t>
  </si>
  <si>
    <t>DZIAŁALNOŚĆ USŁUGOWA</t>
  </si>
  <si>
    <t>71012</t>
  </si>
  <si>
    <t>Zadania z zakresu geodezji i kartografii</t>
  </si>
  <si>
    <t>71095</t>
  </si>
  <si>
    <t>75011</t>
  </si>
  <si>
    <t>Urzędy wojewódzkie</t>
  </si>
  <si>
    <t>75046</t>
  </si>
  <si>
    <t>Komisje egzaminacyjne</t>
  </si>
  <si>
    <t>75084</t>
  </si>
  <si>
    <t>Funkcjonowanie wojewódzkich rad dialogu społecznego</t>
  </si>
  <si>
    <t>752</t>
  </si>
  <si>
    <t>OBRONA NARODOWA</t>
  </si>
  <si>
    <t>75212</t>
  </si>
  <si>
    <t>Pozostałe wydatki obronne</t>
  </si>
  <si>
    <t>OCHRONA  ZDROWIA</t>
  </si>
  <si>
    <t>85141</t>
  </si>
  <si>
    <t>Ratownictwo medyczne</t>
  </si>
  <si>
    <t>85156</t>
  </si>
  <si>
    <t>Składki na ubezpieczenie zdrowotne oraz świadczenia 
dla osób nieobjętych obowiązkiem ubezpieczenia zdrowotnego</t>
  </si>
  <si>
    <t>85195</t>
  </si>
  <si>
    <t>POZOSTAŁE ZADANIA W ZAKRESIE POLITYKI SPOŁECZNEJ</t>
  </si>
  <si>
    <t>85332</t>
  </si>
  <si>
    <t>Wojewódzkie urzędy pracy</t>
  </si>
  <si>
    <t>RODZINA</t>
  </si>
  <si>
    <t>85501</t>
  </si>
  <si>
    <t xml:space="preserve">Świadczenie wychowawcze </t>
  </si>
  <si>
    <t>85502</t>
  </si>
  <si>
    <t>Świadczenia rodzinne, świadczenie z funduszu alimentacyjnego oraz składki na ubezpieczenia emerytalne i rentowe z ubezpieczenia społecznego</t>
  </si>
  <si>
    <t>85509</t>
  </si>
  <si>
    <t xml:space="preserve">Działalność ośrodków adopcyjnych 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</si>
  <si>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</si>
  <si>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</si>
  <si>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</si>
  <si>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</si>
  <si>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</si>
  <si>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</si>
  <si>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</si>
  <si>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</si>
  <si>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</si>
  <si>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</si>
  <si>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Składki na ubezpieczenie zdrowotne oraz świadczenia dla osób nieobjętych obowiązkiem ubezpieczenia zdrowotnego</t>
  </si>
  <si>
    <t>Świadczenie wychowawcze</t>
  </si>
  <si>
    <t>Działaność ośrodków adopcyjnych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</si>
  <si>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</si>
  <si>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</si>
  <si>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</si>
  <si>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</si>
  <si>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</si>
  <si>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100</t>
  </si>
  <si>
    <t>GÓRNICTWO I KOPALNICTWO</t>
  </si>
  <si>
    <t>10095</t>
  </si>
  <si>
    <t>DZIAŁANOŚĆ USŁUGOWA</t>
  </si>
  <si>
    <t>71005</t>
  </si>
  <si>
    <t>Prace geologiczne (nieinwestycyjne)</t>
  </si>
  <si>
    <t xml:space="preserve"> Plan wydatków budżetu Województwa Podkarpackiego na 2017r. -  
na zadania realizowane w ramach programów finansowanych z udziałem środków, o których mowa w art. 5 ust. 1 pkt 2 i 3, 
ustawy o finansach publicznych z perspektywy finansowej 2007-2013
(wg działów, rozdziałów, paragrafów i rodzajów wydatków)</t>
  </si>
  <si>
    <t>Jednostka realizująca / Nazwa zadania / Program</t>
  </si>
  <si>
    <t>Kwota ogółem w 2017r.</t>
  </si>
  <si>
    <t>budżet województwa</t>
  </si>
  <si>
    <t>środki UE</t>
  </si>
  <si>
    <t>budżet państwa</t>
  </si>
  <si>
    <t>inne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</si>
  <si>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</si>
  <si>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</si>
  <si>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</si>
  <si>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</si>
  <si>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</si>
  <si>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</si>
  <si>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</si>
  <si>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</si>
  <si>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</si>
  <si>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</si>
  <si>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</t>
  </si>
  <si>
    <t>URZĄD MARSZAŁKOWSKI WOJEWÓDZTWA PODKARPACKIEGO</t>
  </si>
  <si>
    <t>1</t>
  </si>
  <si>
    <r>
      <t xml:space="preserve">Dotacja celowa dla beneficjentów realizujących projekty w ramach osi I-VII
</t>
    </r>
    <r>
      <rPr>
        <sz val="9"/>
        <rFont val="Arial"/>
        <family val="2"/>
        <charset val="238"/>
      </rPr>
      <t>Regionalny Program Operacyjny Województwa Podkarpackiego na lata 2007-2013
(Departament Rozwoju Regionalnego)</t>
    </r>
  </si>
  <si>
    <t>OGÓŁEM
z tego:</t>
  </si>
  <si>
    <t>wydatki bieżące</t>
  </si>
  <si>
    <t>2009</t>
  </si>
  <si>
    <t>wydatki majątkowe</t>
  </si>
  <si>
    <t>15011</t>
  </si>
  <si>
    <t>6209</t>
  </si>
  <si>
    <t>6207</t>
  </si>
  <si>
    <t>RAZEM</t>
  </si>
  <si>
    <t xml:space="preserve"> Plan wydatków budżetu Województwa Podkarpackiego na 2017r. -  
na zadania realizowane w ramach programów finansowanych z udziałem środków, o których mowa w art. 5 ust. 1 pkt 2 i 3, 
ustawy o finansach publicznych z perspektywy finansowej 2014-2020
(wg działów, rozdziałów, paragrafów i rodzajów wydatków)</t>
  </si>
  <si>
    <t>URZĄD MARSZAŁKOWSKI WOJEWÓDZTWA PODKARPACKIEGO W RZESZOWIE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</si>
  <si>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</si>
  <si>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6259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</si>
  <si>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</si>
  <si>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</si>
  <si>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3</t>
  </si>
  <si>
    <r>
      <rPr>
        <i/>
        <sz val="9"/>
        <rFont val="Arial"/>
        <family val="2"/>
        <charset val="238"/>
      </rPr>
      <t>Wsparcie procesu wdrażania RPO WP 2014-2020 poprzez działania o charakterze edukacyjno-promocyjnym i procedurą odwoławczą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</si>
  <si>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75018</t>
  </si>
  <si>
    <t>wydatki bieżące,
w tym:</t>
  </si>
  <si>
    <t>wynagrodzenia wraz z pochodnymi</t>
  </si>
  <si>
    <t>4118</t>
  </si>
  <si>
    <t>4119</t>
  </si>
  <si>
    <t>4178</t>
  </si>
  <si>
    <t>4179</t>
  </si>
  <si>
    <t>pozostałe wydatki bieżące</t>
  </si>
  <si>
    <t>4218</t>
  </si>
  <si>
    <t>4219</t>
  </si>
  <si>
    <t>4308</t>
  </si>
  <si>
    <t>4309</t>
  </si>
  <si>
    <t>4388</t>
  </si>
  <si>
    <t>4389</t>
  </si>
  <si>
    <t>4418</t>
  </si>
  <si>
    <t>4419</t>
  </si>
  <si>
    <t>4428</t>
  </si>
  <si>
    <t>4429</t>
  </si>
  <si>
    <t>4618</t>
  </si>
  <si>
    <t>4619</t>
  </si>
  <si>
    <t>6058</t>
  </si>
  <si>
    <t>4</t>
  </si>
  <si>
    <r>
      <t>Wsparcie procesu ewaluacji RPO WP 2014-2020 w latach 2016-2017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</si>
  <si>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4398</t>
  </si>
  <si>
    <t>4399</t>
  </si>
  <si>
    <t>5</t>
  </si>
  <si>
    <r>
      <t>Obsługa funkcjonowania Komitetu Monitorującego Regionalny Program Operacyjny Województwa Podkarpackiego na lata 2014-2020 w 2017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</si>
  <si>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3038</t>
  </si>
  <si>
    <t>3039</t>
  </si>
  <si>
    <t>6</t>
  </si>
  <si>
    <r>
      <rPr>
        <i/>
        <sz val="9"/>
        <rFont val="Arial"/>
        <family val="2"/>
        <charset val="238"/>
      </rPr>
      <t>Zatrudnienie pracowników Urzędu Marszałkowskiego Województwa Podkarpackiego w Rzeszowie zaangażowanych w realizację RPO WP w 2017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Organizacyjno- Prawny)</t>
    </r>
  </si>
  <si>
    <t>4018</t>
  </si>
  <si>
    <t>4019</t>
  </si>
  <si>
    <t>4048</t>
  </si>
  <si>
    <t>4049</t>
  </si>
  <si>
    <t>4128</t>
  </si>
  <si>
    <t>4129</t>
  </si>
  <si>
    <t>7</t>
  </si>
  <si>
    <r>
      <t xml:space="preserve">Wsparcie UMWP w Rzeszowie w związku z realizacją RPO WP w 2017 roku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Organizacyjno- Prawny)</t>
    </r>
  </si>
  <si>
    <t>3028</t>
  </si>
  <si>
    <t>3029</t>
  </si>
  <si>
    <t>4268</t>
  </si>
  <si>
    <t>4269</t>
  </si>
  <si>
    <t>4288</t>
  </si>
  <si>
    <t>4289</t>
  </si>
  <si>
    <t>4528</t>
  </si>
  <si>
    <t>4529</t>
  </si>
  <si>
    <t>4708</t>
  </si>
  <si>
    <t>4709</t>
  </si>
  <si>
    <t>6068</t>
  </si>
  <si>
    <t>8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</si>
  <si>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 - Prawny)</t>
    </r>
  </si>
  <si>
    <t>9</t>
  </si>
  <si>
    <r>
      <t xml:space="preserve">Wsparcie działalnośći Regionalnego Obserwatorium Terytorialnego w procesie dostarczania niezbędnej wiedzy do zarządzania rozwojem regionu w 2017 roku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</si>
  <si>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10</t>
  </si>
  <si>
    <r>
      <t xml:space="preserve">Wsparcie zadań z zakresu RPO WP 2007-2013 w 2017 roku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</si>
  <si>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11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</si>
  <si>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
(Departament Rozwoju Regionalnego)</t>
    </r>
  </si>
  <si>
    <t>dotacje dla partnerów</t>
  </si>
  <si>
    <t>2007</t>
  </si>
  <si>
    <t>4017</t>
  </si>
  <si>
    <t>4047</t>
  </si>
  <si>
    <t>4117</t>
  </si>
  <si>
    <t>4127</t>
  </si>
  <si>
    <t>4177</t>
  </si>
  <si>
    <t>4217</t>
  </si>
  <si>
    <t>4307</t>
  </si>
  <si>
    <t>4387</t>
  </si>
  <si>
    <t>4397</t>
  </si>
  <si>
    <t>4417</t>
  </si>
  <si>
    <t>4437</t>
  </si>
  <si>
    <t>4447</t>
  </si>
  <si>
    <t>4707</t>
  </si>
  <si>
    <t>12</t>
  </si>
  <si>
    <r>
      <t xml:space="preserve">Zakup taboru kolejowego do wykonywania przewozów pasażerskich na terenie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</si>
  <si>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4300</t>
  </si>
  <si>
    <t>6060</t>
  </si>
  <si>
    <t>6067</t>
  </si>
  <si>
    <t>13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</si>
  <si>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</si>
  <si>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72095</t>
  </si>
  <si>
    <t>2057</t>
  </si>
  <si>
    <t>6257</t>
  </si>
  <si>
    <t>6057</t>
  </si>
  <si>
    <t>14</t>
  </si>
  <si>
    <r>
      <t xml:space="preserve">Inteligentne specjalizacje - narzędzie wzrostu innowacyjności i konkurencyjnośći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</si>
  <si>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73095</t>
  </si>
  <si>
    <t>4427</t>
  </si>
  <si>
    <t>15</t>
  </si>
  <si>
    <r>
      <t xml:space="preserve">Podkarpacki System e-Administracji Publicznej - 2 (PSeAP - 2)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</si>
  <si>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16</t>
  </si>
  <si>
    <r>
      <t xml:space="preserve">Promocja Gospodarcza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 i Współpracy Gospodarczej)</t>
    </r>
  </si>
  <si>
    <t>17</t>
  </si>
  <si>
    <r>
      <t xml:space="preserve">Portal Muzeum Dziedzictwa Kresów Dawnej Rzeczpospolitej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Narodowego)</t>
    </r>
  </si>
  <si>
    <t>92195</t>
  </si>
  <si>
    <t>18</t>
  </si>
  <si>
    <r>
      <t xml:space="preserve">Wsparcie stypendialne uczniów szkół gimnazjalnych i ponadgimnazjalnych prowadzących kształcenie ogólne - rok szkolny 2016/2017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</si>
  <si>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85416</t>
  </si>
  <si>
    <t>3247</t>
  </si>
  <si>
    <t>3249</t>
  </si>
  <si>
    <t>4267</t>
  </si>
  <si>
    <t>4367</t>
  </si>
  <si>
    <t>4369</t>
  </si>
  <si>
    <t>19</t>
  </si>
  <si>
    <r>
      <t xml:space="preserve">Wsparcie stypendialne uczniów ponadgimnazjalnych szkół zawodowych - rok szkolny 2016/2017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</si>
  <si>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20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</si>
  <si>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</si>
  <si>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01041</t>
  </si>
  <si>
    <t>4198</t>
  </si>
  <si>
    <t>4199</t>
  </si>
  <si>
    <t>4278</t>
  </si>
  <si>
    <t>4279</t>
  </si>
  <si>
    <t>4438</t>
  </si>
  <si>
    <t>4439</t>
  </si>
  <si>
    <t>21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</si>
  <si>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</si>
  <si>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050</t>
  </si>
  <si>
    <t>05011</t>
  </si>
  <si>
    <t>22</t>
  </si>
  <si>
    <r>
      <t xml:space="preserve">Żywe laboratorium polityki publicznej
</t>
    </r>
    <r>
      <rPr>
        <sz val="9"/>
        <rFont val="Arial"/>
        <family val="2"/>
        <charset val="238"/>
      </rPr>
      <t>Program INTERREG EUROPA na lata 2014-2020
(Departament Rozwoju Regionalnego)</t>
    </r>
  </si>
  <si>
    <t>730</t>
  </si>
  <si>
    <t>23</t>
  </si>
  <si>
    <r>
      <t xml:space="preserve">Szlak Maryjny (Światło ze Wschodu)
</t>
    </r>
    <r>
      <rPr>
        <sz val="9"/>
        <rFont val="Arial"/>
        <family val="2"/>
        <charset val="238"/>
      </rPr>
      <t>Program INTERREG V-A POLSKA - SŁOWACJA na lata 2014-2020
(Departament Promocji i Współpracy Gospodarczej)</t>
    </r>
  </si>
  <si>
    <t>24</t>
  </si>
  <si>
    <r>
      <t xml:space="preserve">Pomoc techniczna w ramach Programu Współpracy Transgranicznej Interreg V-A Polska - Słowacja 2014-2020
</t>
    </r>
    <r>
      <rPr>
        <sz val="9"/>
        <rFont val="Arial"/>
        <family val="2"/>
        <charset val="238"/>
      </rPr>
      <t>Program INTERREG V-A POLSKA - SŁOWACJA na lata 2014-2020
(Departament Promocji i Współpracy Gospodarczej)</t>
    </r>
  </si>
  <si>
    <t>75095</t>
  </si>
  <si>
    <t>25</t>
  </si>
  <si>
    <r>
      <t xml:space="preserve">System Informacji o Funduszach Europejskich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</si>
  <si>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4368</t>
  </si>
  <si>
    <t>4408</t>
  </si>
  <si>
    <t>4409</t>
  </si>
  <si>
    <t>26</t>
  </si>
  <si>
    <r>
      <t xml:space="preserve">Projekt wsparcia jednostek samorządu terytorialnego w opracowaniu lub aktualizacji programów rewitalizacji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</si>
  <si>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dotacje dla beneficjentów</t>
  </si>
  <si>
    <t>2058</t>
  </si>
  <si>
    <t>2059</t>
  </si>
  <si>
    <t>II</t>
  </si>
  <si>
    <t>PODKARPACKI ZARZĄD DRÓG WOJEWÓDZKICH W RZESZOWIE</t>
  </si>
  <si>
    <r>
      <t xml:space="preserve">Budowa drogi wojewódzkiej nr 835 Lublin - Przeworsk - Grabownica Starzeńska na odcinku od węzła A4 "Przeworsk" do drogi krajowej 94 (Gwizdaj)
</t>
    </r>
    <r>
      <rPr>
        <sz val="9"/>
        <rFont val="Arial"/>
        <family val="2"/>
        <charset val="238"/>
      </rPr>
      <t>Regionalny Program Operacyjny Województwa Podkarpackiego na lata 2014-2020</t>
    </r>
  </si>
  <si>
    <t>60013</t>
  </si>
  <si>
    <t>6050</t>
  </si>
  <si>
    <t>6059</t>
  </si>
  <si>
    <r>
      <t xml:space="preserve">Budowa  północnej obwodnicy miasta Sokołowa Małopolskiego w ramach rozbudowy drogi wojewódzkiej nr 875 Mielec – Kolbuszowa – Sokołów Małopolski - Leżajsk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</si>
  <si>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 rozbudowa drogi wojewódzkiej nr 835 Lublin–Przeworsk–Grabownica Starzeńska na odcinku od skrzyżowania z drogą wojewódzką nr 870 w m. Sieniawa do łącznika drogi  wojewódzkiej z węzłem „Przeworsk” w miejscowości Gorliczyna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</si>
  <si>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</si>
  <si>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988 Babica–Strzyżów–Warzyce na odcinku od m. Zaborów do początku obwodnicy m. Strzyżów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</si>
  <si>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i Werynia w ciągu drogi wojewódzkiej nr 875 Mielec–Leżajsk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</si>
  <si>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Dynów w ciągu drogi wojewódzkiej nr 835 Lublin–Przeworsk–Grabownica Starzeńska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</si>
  <si>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Oleszyce i m. Cieszanów w ciągu drogi wojewódzkiej nr 865 Jarosław–Oleszyce–Cieszanów–Bełżec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</si>
  <si>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867 na odcinku od Oleszyc do Lubaczowa wraz z budową obwodnicy Oleszyc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</si>
  <si>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Lubaczów w ciągu drogi wojewódzkiej nr 866 Dachnów - Lubaczów- Granica Państwa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</si>
  <si>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861 Bojanów–Jeżowe–Kopki na odcinku od skrzyżowania drogi krajowej 19 w m. Jeżowe do węzła S-19 Podgórze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</si>
  <si>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881 na odcinku Kańczuga - Pruchnik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</si>
  <si>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Budowa/przebudowa drogi wojewódzkiej nr 835 Lublin-Przeworsk-Grabownica Starzeńska na odcinku od DK 4 do miasta Kańczuga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</si>
  <si>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Rozbudowa drogi wojewódzkiej nr 881 Sokołów Małopolski - Łańcut - Kańczuga - Żurawica na odcinku Czarna - Łańcut wraz z budową mostu na rzece Wisłok i Mikośka + ul. Kraszewskiego w Łańcucie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</si>
  <si>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875 Mielec - Kolbuszowa - Leżajsk od końca obwodnicy m. Werynia do początku obwodnicy m. Sokołów Małopolski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</si>
  <si>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Strzyżów w ciągu drogi wojewódzkiej Nr 988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</si>
  <si>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odcinka DW nr 984 Lisia Góra-Radomyśl Wielki - Mielec od m. Piątkowiec do skrzyżowania z DW 983 oraz DW 983 do m. Rzędzianowice wraz z budową nowego odcinka DW 984 od m. Rzędzianowice do DW nr 985 + budowa mostu na rzece Wisłoka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</si>
  <si>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987 na odcinku od DK 94 przez ul. Księżomost do DP 1334 R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</si>
  <si>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Radomyśl Wielki w ciągu DW 984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</si>
  <si>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w ciągu DW 987 Kolbuszowa - Sędziszów Młp.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</si>
  <si>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i rozbudowa DW Nr 869 na odcinku od węzła S-19 Jasionka do węzła DK 9 w Rudnej Małej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</si>
  <si>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Rozbudowa i budowa DW Nr 988 na odcinku Babica-Zaborów wraz z budową obwodnicy Czudca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</si>
  <si>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Rozbudowa DW Nr 878 na odcinku: od granicy miasta Rzeszowa do skrzyżowania ul. Grunwaldzkiej z ul. Orkana w Tyczynie (DP Nr 1404R)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</si>
  <si>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Przygotowanie i realizacja odcinka drogi wojewódzkiej pomiędzy granicą Rzeszowa a węzłem w Kielanówce drogi ekspresowej S-19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</si>
  <si>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Rozwój infrastruktury drogowej pomiędzy miastami Snina – Medzilaborce – Krosno, przebudowa / rozbudowa DW 897 na odcinku Tylawa – Daliowa
</t>
    </r>
    <r>
      <rPr>
        <sz val="9"/>
        <rFont val="Arial"/>
        <family val="2"/>
        <charset val="238"/>
      </rPr>
      <t>Program INTERREG V-A POLSKA - SŁOWACJA na lata 2014-2020</t>
    </r>
  </si>
  <si>
    <t>III</t>
  </si>
  <si>
    <t>WOJEWÓDZKI OŚRODEK DOKUMENTACJI GEODEZYJNEJ I KARTOGRAFICZNEJ W RZESZOWIE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</si>
  <si>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</si>
  <si>
    <t>IV</t>
  </si>
  <si>
    <t>PODKARPACKI ZARZĄD MELIORACJI I URZĄDZEŃ WODNYCH W RZESZOWIE</t>
  </si>
  <si>
    <r>
      <t xml:space="preserve">Ropa - Etap 1 - budowa lewego obwałowania rzeki Ropy na odcinku od drogi powiatowej w Trzcinicy do mostu kolejowego w Siedliskach Sławęckich na terenie miejscowości Trzcinica, gm. Jasło oraz Przysieki, Siedliska Sławęckie, Pusta Wola, gm. Skołyszyn,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</si>
  <si>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t>01078</t>
  </si>
  <si>
    <r>
      <t xml:space="preserve">Zabezpieczenie przeciwpowodziowe obszarów zalewowych położonych na prawym brzegu rzeki Wisłoki w km 50+500-57+800 na terenie miejscowości Dębica i Kędzierz,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</si>
  <si>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Zabezpieczenie przed powodzią obszarów położonych w km rzeki Wisłoki 113+350-119+000 na terenie miasta Jasło, gm. Jasło oraz gm. Dębowiec, woj. podkarpackie - Etap I i II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</si>
  <si>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wałów przeciwpowodziowych na rzece Wisłoce w km rzeki od 27+100 do 31+400 i potoku Kiełkowskim w km wału od 0+150 do 1+971 - dla ochrony przeciwpowodziowej miejscowości Boża Wola, Kiełków na terenie gm. Mielec i gm. Przecław,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</si>
  <si>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Trześniówka V rozbudowa lewego wału rzeki Trześniówki w km 3+646-7+626 na terenie os. Sobów i Wielowieś miasto Tarnobrzeg wraz z budową przepompowni w m. Trześń, gm. Gorzyce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</si>
  <si>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kanału ulgi o długości 366 m wraz z obiektami towarzyszącymi na potoku Husówka w km 3+949-4+401 na terenie miejscowości Husów, gmina Markowa,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</si>
  <si>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t>V</t>
  </si>
  <si>
    <t>WOJEWÓDZKI URZĄD PRACY W RZESZOWIE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</si>
  <si>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</t>
    </r>
  </si>
  <si>
    <t>85395</t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</si>
  <si>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</si>
  <si>
    <t>80195</t>
  </si>
  <si>
    <t>85295</t>
  </si>
  <si>
    <r>
      <t xml:space="preserve">Nauka bez granic
</t>
    </r>
    <r>
      <rPr>
        <sz val="9"/>
        <rFont val="Arial"/>
        <family val="2"/>
        <charset val="238"/>
      </rPr>
      <t>Program INTERREG V-A POLSKA - SŁOWACJA na lata 2014-2020</t>
    </r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</si>
  <si>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</si>
  <si>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r>
      <t xml:space="preserve">Pomoc techniczna RPO WP na lata 2014-2020 dla Wojewódzkiego Urzedu Pracy w Rzeszowie na rok 2017
</t>
    </r>
    <r>
      <rPr>
        <sz val="9"/>
        <rFont val="Arial"/>
        <family val="2"/>
        <charset val="238"/>
      </rPr>
      <t>Pomoc Techniczna - Regionalny Program Operacyjny Województwa Podkarpackiego na lata 2014-2020</t>
    </r>
  </si>
  <si>
    <t>VI</t>
  </si>
  <si>
    <t>REGIONALNY OŚRODEK POLITYKI SPOŁECZNEJ W RZESZOWIE</t>
  </si>
  <si>
    <r>
      <t xml:space="preserve">Koordynacja sektora ekonomii społecznej w województwie podkarpackim
</t>
    </r>
    <r>
      <rPr>
        <sz val="9"/>
        <rFont val="Arial"/>
        <family val="2"/>
        <charset val="238"/>
      </rPr>
      <t>Regionalny Program Operacyjny Województwa Podkarpackiego na lata 2014-2020</t>
    </r>
  </si>
  <si>
    <t>3037</t>
  </si>
  <si>
    <t>VII</t>
  </si>
  <si>
    <t>PEDAGOGICZNA BIBLIOTEKA WOJEWÓDZKA W RZESZOWIE</t>
  </si>
  <si>
    <t>Podkarpackie e-biblioteki pedagogiczne
Regionalny Program Operacyjny Województwa Podkarpackiego na lata 2014-2020</t>
  </si>
  <si>
    <t>80147</t>
  </si>
  <si>
    <t>4010</t>
  </si>
  <si>
    <t>4287</t>
  </si>
  <si>
    <t>VIII</t>
  </si>
  <si>
    <t>PODKARPACKIE CENTRUM EDUKACJI NAUCZYCIELI W RZESZOWIE</t>
  </si>
  <si>
    <r>
      <t xml:space="preserve">Zawodowcy na start
</t>
    </r>
    <r>
      <rPr>
        <sz val="9"/>
        <rFont val="Arial"/>
        <family val="2"/>
        <charset val="238"/>
      </rPr>
      <t>Regionalny Program Operacyjny Województwa Podkarpackiego na lata 2014-2020</t>
    </r>
  </si>
  <si>
    <t>80146</t>
  </si>
  <si>
    <t>3027</t>
  </si>
  <si>
    <t>IX</t>
  </si>
  <si>
    <t>MEDYCZNO-SPOŁECZNE CENTRUM KSZTAŁCENIA ZAWODOWEGO I USTAWICZNEGO W PRZEMYŚLU</t>
  </si>
  <si>
    <r>
      <t xml:space="preserve">Dostosowanie oferty kształcenia medycznych szkół policealnych do potrzeb podkarpackiego rynku pracy
</t>
    </r>
    <r>
      <rPr>
        <sz val="9"/>
        <rFont val="Arial"/>
        <family val="2"/>
        <charset val="238"/>
      </rPr>
      <t>Regionalny Program Operacyjny Województwa Podkarpackiego na lata 2014-2020</t>
    </r>
  </si>
  <si>
    <t>80130</t>
  </si>
  <si>
    <t>4247</t>
  </si>
  <si>
    <t>4249</t>
  </si>
  <si>
    <t>X</t>
  </si>
  <si>
    <t>MEDYCZNO-SPOŁECZNE CENTRUM KSZTAŁCENIA ZAWODOWEGO I USTAWICZNEGO W JAŚLE</t>
  </si>
  <si>
    <t>XI</t>
  </si>
  <si>
    <t>MEDYCZNO-SPOŁECZNE CENTRUM KSZTAŁCENIA ZAWODOWEGO I USTAWICZNEGO W SANOKU</t>
  </si>
  <si>
    <t>XII</t>
  </si>
  <si>
    <t>MEDYCZNO-SPOŁECZNE CENTRUM KSZTAŁCENIA ZAWODOWEGO I USTAWICZNEGO W ŁAŃCUCIE</t>
  </si>
  <si>
    <t>XIII</t>
  </si>
  <si>
    <t>MEDYCZNO-SPOŁECZNE CENTRUM KSZTAŁCENIA ZAWODOWEGO I USTAWICZNEGO W MIELCU</t>
  </si>
  <si>
    <t>XIV</t>
  </si>
  <si>
    <t>MEDYCZNO-SPOŁECZNE CENTRUM KSZTAŁCENIA ZAWODOWEGO I USTAWICZNEGO W STALOWEJ WOLI</t>
  </si>
  <si>
    <t>XV</t>
  </si>
  <si>
    <t>MEDYCZNO-SPOŁECZNE CENTRUM KSZTAŁCENIA ZAWODOWEGO I USTAWICZNEGO W RZESZOWIE</t>
  </si>
  <si>
    <r>
      <t xml:space="preserve">Rozwijanie profesjonalizmu
</t>
    </r>
    <r>
      <rPr>
        <sz val="9"/>
        <rFont val="Arial"/>
        <family val="2"/>
        <charset val="238"/>
      </rPr>
      <t>Program ERASMUS +</t>
    </r>
  </si>
  <si>
    <t>2001</t>
  </si>
  <si>
    <t>4111</t>
  </si>
  <si>
    <t>4121</t>
  </si>
  <si>
    <t>4171</t>
  </si>
  <si>
    <t>4211</t>
  </si>
  <si>
    <t>4301</t>
  </si>
  <si>
    <t>4421</t>
  </si>
  <si>
    <t>4431</t>
  </si>
  <si>
    <t>PODZIAŁ DOTACJI CELOWYCH NA REALIZACJĘ 
PROGRAMU ERASMUS +</t>
  </si>
  <si>
    <t>Dotacje dla jednostek spoza sektora finansów publicznych</t>
  </si>
  <si>
    <t>Kwota ogółem</t>
  </si>
  <si>
    <t>dotacje dla partnerów projektu Medyczno-Społecznego Centrum Kształcenia Zawodowego i Ustawicznego w Rzeszowie pn. "Rozwijanie profesjonalizmu"</t>
  </si>
  <si>
    <t>PODZIAŁ DOTACJI CELOWYCH NA REALIZACJĘ 
PROGRAMU OPERACYJNEGO WIEDZA, EDUKACJA, ROZWÓJ NA LATA 2014-2020</t>
  </si>
  <si>
    <t>dotacja celowa dla beneficjentów realizujących projekty w ramach POWER na lata 2014-2020</t>
  </si>
  <si>
    <t>PODZIAŁ DOTACJI CELOWYCH NA REALIZACJĘ 
REGIONALNEGO PROGRAMU OPERACYJNEGO WOJEWÓDZTWA PODKARPACKIEGO NA LATA 2007-2013</t>
  </si>
  <si>
    <t>dotacja celowa dla beneficjentów realizujących projekty w ramach RPO WP na lata 2007-2013</t>
  </si>
  <si>
    <t>PODZIAŁ DOTACJI CELOWYCH NA REALIZACJĘ 
REGIONALNEGO PROGRAMU OPERACYJNEGO WOJEWÓDZTWA PODKARPACKIEGO NA LATA 2014-2020</t>
  </si>
  <si>
    <t>dotacja celowa dla beneficjentów realizujących projekty w ramach RPO WP na lata 2014-2020</t>
  </si>
  <si>
    <t>dotacje dla partnerów projektu Urzędu Marszałkowskiego Województwa Podkarpackiego w Rzeszowie pn. "Podkarpacki System Informacji Przestrzennej (PSIP)"</t>
  </si>
  <si>
    <t>dotacje dla partnerów projektu Podkarpackiego Centrum Edukacji Nauczycieli w Rzeszowie pn. "Zawodowcy na start"</t>
  </si>
  <si>
    <t>dotacje dla partnerów projektu Urzędu Marszałkowskiego Województwa Podkarpackiego w Rzeszowie pn. "Podkarpacka platforma wsparcia biznesu"</t>
  </si>
  <si>
    <t>PODZIAŁ DOTACJI CELOWYCH NA REALIZACJĘ 
PROGRAMU OPERACYJNEGO POMOC TECHNICZNA NA LATA 2014-2020</t>
  </si>
  <si>
    <t>Dotacje dla jednostek sektora finansów publicznych</t>
  </si>
  <si>
    <t>dotacje dla beneficjentów projektu Urzędu Marszałkowskiego Województwa Podkarpackiego w Rzeszowie pn. "Projekt wsparcia jednostek samorządu terytorialnego w opracowaniu lub aktualizacji programów rewitalizacji"</t>
  </si>
  <si>
    <t>Plan wydatków na 2017 r. według działów, rozdziałów, paragrafów klasyfikacji budżetowej</t>
  </si>
  <si>
    <t>Wyszczególnienie</t>
  </si>
  <si>
    <t>Plan na 2017 r.</t>
  </si>
  <si>
    <t>Rolnictwo i łowiectwo</t>
  </si>
  <si>
    <t>01004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</si>
  <si>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</si>
  <si>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</si>
  <si>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</si>
  <si>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</si>
  <si>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</si>
  <si>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</si>
  <si>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</si>
  <si>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</si>
  <si>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</si>
  <si>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</si>
  <si>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</si>
  <si>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</si>
  <si>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</si>
  <si>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</si>
  <si>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</si>
  <si>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</si>
  <si>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</si>
  <si>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</si>
  <si>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</si>
  <si>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</si>
  <si>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</si>
  <si>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</si>
  <si>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</si>
  <si>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</si>
  <si>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</si>
  <si>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</si>
  <si>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Zakup usług pozostałych</t>
  </si>
  <si>
    <t>4360</t>
  </si>
  <si>
    <t>Opłaty z tytułu zakupu usług telekomunikacyjnych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</si>
  <si>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</si>
  <si>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</si>
  <si>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</si>
  <si>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</si>
  <si>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</si>
  <si>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</si>
  <si>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</si>
  <si>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</si>
  <si>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</si>
  <si>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</si>
  <si>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</si>
  <si>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</si>
  <si>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</si>
  <si>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</si>
  <si>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</si>
  <si>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</si>
  <si>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</si>
  <si>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</si>
  <si>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</si>
  <si>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</si>
  <si>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</si>
  <si>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01006</t>
  </si>
  <si>
    <t>Zarządy melioracji i urządzeń wodnych</t>
  </si>
  <si>
    <t>4610</t>
  </si>
  <si>
    <t>Koszty postępowania sądowego i prokuratorskiego</t>
  </si>
  <si>
    <t>wydatki majątkowe:</t>
  </si>
  <si>
    <t>inwestycje i zakupy inwestycyjne</t>
  </si>
  <si>
    <t>Wydatki inwestycyjne jednostek budżetowych</t>
  </si>
  <si>
    <t>4500</t>
  </si>
  <si>
    <t>Pozostałe podatki na rzecz budżetów jednostek samorządu terytorialnego</t>
  </si>
  <si>
    <t>- wydatki na programy finansowane z udziałem środków UE i źródeł zagranicznych</t>
  </si>
  <si>
    <t>Spółki wodne</t>
  </si>
  <si>
    <t>dotacje na zadania bieżące:</t>
  </si>
  <si>
    <t>2830</t>
  </si>
  <si>
    <t>Dotacja celowa z budżetu na finansowanie lub dofinansowanie zadań zleconych do realizacji pozostałym jednostkom nie zaliczanym do sektora finansów publicznych</t>
  </si>
  <si>
    <t xml:space="preserve">Program Rozwoju Obszarów Wiejskich </t>
  </si>
  <si>
    <t>wydatki na programy finansowane z udziałem środków UE i źródeł zagranicznych</t>
  </si>
  <si>
    <t>Nagrody konkursowe</t>
  </si>
  <si>
    <t>Zakup usług obejmujących wykonanie ekspertyz, analiz i opinii</t>
  </si>
  <si>
    <t>Wyłączenie z produkcji gruntów rolnych</t>
  </si>
  <si>
    <t>2310</t>
  </si>
  <si>
    <t>Dotacje celowe przekazane gminie na zadania bieżące realizowane na podstawie porozumień (umów) między jednostkami samorządu terytorialnego</t>
  </si>
  <si>
    <t>2320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</si>
  <si>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</si>
  <si>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</si>
  <si>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</si>
  <si>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</si>
  <si>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</si>
  <si>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</si>
  <si>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Usuwanie skutków klęsk żywiołowych</t>
  </si>
  <si>
    <t>4190</t>
  </si>
  <si>
    <t xml:space="preserve">PROW -475,000 </t>
  </si>
  <si>
    <t>RG - 175,000</t>
  </si>
  <si>
    <t>4390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</si>
  <si>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</si>
  <si>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</si>
  <si>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</si>
  <si>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</si>
  <si>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Zakup usług obejmujących wykonywanie ekspertyz, analiz i opinii</t>
  </si>
  <si>
    <t>150</t>
  </si>
  <si>
    <t>Przetwórstwo przemysłowe</t>
  </si>
  <si>
    <t>Rozwój przedsiębiorczości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</si>
  <si>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</si>
  <si>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RR - 884.490</t>
  </si>
  <si>
    <t>Zakup usług obejmujących tłumaczenia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</si>
  <si>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</si>
  <si>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</si>
  <si>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15013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</si>
  <si>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</si>
  <si>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</si>
  <si>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500</t>
  </si>
  <si>
    <t>Handel</t>
  </si>
  <si>
    <t>50005</t>
  </si>
  <si>
    <t>Promocja eksportu</t>
  </si>
  <si>
    <t>4380</t>
  </si>
  <si>
    <t>Transport i łączność</t>
  </si>
  <si>
    <t>Krajowe pasażerskie przewozy kolejowe</t>
  </si>
  <si>
    <t>Dotacja celowa z budżetu na finansowanie lub dofinansowanie zadań zleconych do realizacji pozostałym jednostkom niezaliczanym do sektora finansów publicznych</t>
  </si>
  <si>
    <t>6069</t>
  </si>
  <si>
    <t>60002</t>
  </si>
  <si>
    <t>Infrastruktura kolejowa</t>
  </si>
  <si>
    <t xml:space="preserve">Dotacja przedmiotowa z budżetu dla jednostek niezaliczanych do sektora finansów publicznych </t>
  </si>
  <si>
    <t>60004</t>
  </si>
  <si>
    <t>Lokalny transport zbiorowy</t>
  </si>
  <si>
    <t>Drogi publiczne wojewódzkie</t>
  </si>
  <si>
    <t>RG - 20.000</t>
  </si>
  <si>
    <t>DT - 13.152.100</t>
  </si>
  <si>
    <t>4420</t>
  </si>
  <si>
    <t>Podróże służbowe zagraniczne</t>
  </si>
  <si>
    <t>4590</t>
  </si>
  <si>
    <t>Kary i odszkodowania wypłacane na rzecz osób fizycznych</t>
  </si>
  <si>
    <t xml:space="preserve"> inwestycje i zakupy inwestycyjne</t>
  </si>
  <si>
    <t>Drogi publiczne powiatowe</t>
  </si>
  <si>
    <t>Wydatki majątkowe:</t>
  </si>
  <si>
    <t xml:space="preserve"> - inwestycyjne i zakupy inwestycyjne</t>
  </si>
  <si>
    <t>6300</t>
  </si>
  <si>
    <t>Dotacja celowa na pomoc finansową  udzielaną między jednostkami samorządu terytorialnego na dofinansowanie własnych zadan inwestycyjnych i zakupów inwestycyjnych</t>
  </si>
  <si>
    <t>Turystyka</t>
  </si>
  <si>
    <t>Zadania w zakresie upowszechniania turystyki</t>
  </si>
  <si>
    <t xml:space="preserve">Dotacje celowe z budżetu jednostki samorządu terytorialnego, udzielone w trybie art.. 221 ustawy, na finansowanie lub dofinansowanie zadań zleconych do realizacji organizacjom prowadzącym działalność pożytku publicznego </t>
  </si>
  <si>
    <t>63095</t>
  </si>
  <si>
    <t>700</t>
  </si>
  <si>
    <t>Gospodarka mieszkaniowa</t>
  </si>
  <si>
    <t>70005</t>
  </si>
  <si>
    <t>Gospodarka gruntami i nieruchomościami</t>
  </si>
  <si>
    <t>Działalność usługowa</t>
  </si>
  <si>
    <t>71003</t>
  </si>
  <si>
    <t>Biura planowania przestrzennego</t>
  </si>
  <si>
    <t>Zakup środków żywnościowych</t>
  </si>
  <si>
    <t>4240</t>
  </si>
  <si>
    <t>Zakup środków dydaktycznych i książek</t>
  </si>
  <si>
    <t>Opłata z tytułu zakupu usług telekomunikacyjnych</t>
  </si>
  <si>
    <t>Podatek od towarów i usług (VAT).</t>
  </si>
  <si>
    <t>720</t>
  </si>
  <si>
    <t>Informatyka</t>
  </si>
  <si>
    <t xml:space="preserve">Podkatek od nieruchomości 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</si>
  <si>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</si>
  <si>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RG-3.752.966</t>
  </si>
  <si>
    <t>RG-632.216</t>
  </si>
  <si>
    <t>Nauka</t>
  </si>
  <si>
    <t>Administracja publiczna</t>
  </si>
  <si>
    <t>75017</t>
  </si>
  <si>
    <t>Samorządowe sejmiki województw</t>
  </si>
  <si>
    <t>3030</t>
  </si>
  <si>
    <t xml:space="preserve">Różne wydatki na rzecz osób fizycznych </t>
  </si>
  <si>
    <t>Urzędy marszałkowskie</t>
  </si>
  <si>
    <t>KZ - 20.000</t>
  </si>
  <si>
    <t>OR - 2.380.000</t>
  </si>
  <si>
    <t>KZ - 35.000</t>
  </si>
  <si>
    <t>OR - 1.378.497</t>
  </si>
  <si>
    <t>Różne wydatki na rzecz osób fizycznych</t>
  </si>
  <si>
    <t>RPO-21.038</t>
  </si>
  <si>
    <t>RPO-3.713</t>
  </si>
  <si>
    <t>RPO-119.213</t>
  </si>
  <si>
    <t>RPO-8.500</t>
  </si>
  <si>
    <t>RPO-1.500</t>
  </si>
  <si>
    <t>RPO-1.808.800</t>
  </si>
  <si>
    <t>RPO-319200</t>
  </si>
  <si>
    <t>Opłaty z tytułu zakupu usług telekomunikacyjnych świadczonych w ruchomej publicznej sieci telefonicznej</t>
  </si>
  <si>
    <t>RPO-319201</t>
  </si>
  <si>
    <t>RPO-23.290</t>
  </si>
  <si>
    <t>RPO-4.110</t>
  </si>
  <si>
    <t>RPO-703.800</t>
  </si>
  <si>
    <t>RPO-124.200</t>
  </si>
  <si>
    <t>RPO-124.201</t>
  </si>
  <si>
    <t>RPO-124.202</t>
  </si>
  <si>
    <t>RR - 8.500</t>
  </si>
  <si>
    <t>RR - 1.500</t>
  </si>
  <si>
    <t>RPO-75.000</t>
  </si>
  <si>
    <t>KZ - 5.000</t>
  </si>
  <si>
    <t>PG - 20.000</t>
  </si>
  <si>
    <t>RG - 5.000</t>
  </si>
  <si>
    <t>KZ - 30.000</t>
  </si>
  <si>
    <t>KS - 5.000</t>
  </si>
  <si>
    <t>KZ - 25.000</t>
  </si>
  <si>
    <t>PG - 200.000</t>
  </si>
  <si>
    <t>KS - 15.000</t>
  </si>
  <si>
    <t>RG - 45.000</t>
  </si>
  <si>
    <t>KZ - 321.500</t>
  </si>
  <si>
    <t>PG - 17.544.103</t>
  </si>
  <si>
    <t>RR - 120.000</t>
  </si>
  <si>
    <t>KZ - 25,000</t>
  </si>
  <si>
    <t>PG - 130.00</t>
  </si>
  <si>
    <t>Dotacje celowe przekazane do samorządu województwa na zadania bieżące realizowane na podstawie porozumień (umów) między jednostkami samorządu terytorialnego</t>
  </si>
  <si>
    <t>Szkolenia pracowników niebędących członkami korpusu służby cywilnej</t>
  </si>
  <si>
    <t>WP - 1,000</t>
  </si>
  <si>
    <t>KZ - 22.000</t>
  </si>
  <si>
    <t>PG - 18.000</t>
  </si>
  <si>
    <t>RR - 8.225.779</t>
  </si>
  <si>
    <t xml:space="preserve">KZ -3,000 </t>
  </si>
  <si>
    <t>PG - 7.000</t>
  </si>
  <si>
    <t>NW - 15,000</t>
  </si>
  <si>
    <t xml:space="preserve">RR - </t>
  </si>
  <si>
    <t>KS - 110.000</t>
  </si>
  <si>
    <t>PG - 100.000</t>
  </si>
  <si>
    <t>WP -6,600</t>
  </si>
  <si>
    <t>świadczenia na rzecz osób fizycznych</t>
  </si>
  <si>
    <t>Obrona narodowa</t>
  </si>
  <si>
    <t>Bezpieczeństwo publiczne i ochrona przeciwpożarowa</t>
  </si>
  <si>
    <t>Komendy wojewódzkie Policji</t>
  </si>
  <si>
    <t>6170</t>
  </si>
  <si>
    <t>Wpłaty jednostek na państwowy fundusz celowy na finansowanie lub dofinansowanie zadań inwestycyjnych</t>
  </si>
  <si>
    <t>Straż Graniczna</t>
  </si>
  <si>
    <t>3000</t>
  </si>
  <si>
    <t>Wpłaty jednostek na państwowy fundusz celowy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</si>
  <si>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</si>
  <si>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</si>
  <si>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</si>
  <si>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</si>
  <si>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</si>
  <si>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</si>
  <si>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</si>
  <si>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</si>
  <si>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</si>
  <si>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</si>
  <si>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</si>
  <si>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</si>
  <si>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</si>
  <si>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</si>
  <si>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</si>
  <si>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</si>
  <si>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</si>
  <si>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</si>
  <si>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</si>
  <si>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</si>
  <si>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</si>
  <si>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</si>
  <si>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</si>
  <si>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</si>
  <si>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80102</t>
  </si>
  <si>
    <t>Szkoły podstawowe specjalne</t>
  </si>
  <si>
    <t xml:space="preserve">Wynagrodzenia bezosobowe </t>
  </si>
  <si>
    <t>80111</t>
  </si>
  <si>
    <t>Gimnazja specjalne</t>
  </si>
  <si>
    <t>80121</t>
  </si>
  <si>
    <t>Licea ogólnokształcące specjalne</t>
  </si>
  <si>
    <t>Zakup środkow dydaktycznych i książek</t>
  </si>
  <si>
    <t>Szkoły zawodowe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</si>
  <si>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</si>
  <si>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</si>
  <si>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</si>
  <si>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</si>
  <si>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</si>
  <si>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Dokształcanie i doskonalenie nauczycieli</t>
  </si>
  <si>
    <t>4350</t>
  </si>
  <si>
    <t>Zakup usług dostępu do sieci Internet</t>
  </si>
  <si>
    <t>Dotacje celowe w ramach programów finansowanych z udziałem środków europejskich oraz środków, o których mowaw art.. 5 ust. 3 pkt 5 lit a i b ustawy, lub płatności w ramach budżetu środków europejskich, realizowanych przez jednostki samorządu terytorialnego</t>
  </si>
  <si>
    <t xml:space="preserve">Opłaty z tytułu zakupu usług telekomunikacyjnych </t>
  </si>
  <si>
    <t>Biblioteki pedagogiczne</t>
  </si>
  <si>
    <t>Dotacje celowe w ramach programów finansowanych z udziałem środków europejskich oraz środków, o których mowa w art. 5 ust. 1 pkt. 3 oraz ust. 3 pkt. 5 i 6 ustawy, lub płatności w ramach budżetu środków europejskich, z wyłączenim wydatków klasyfikowanych w paragrafie 205</t>
  </si>
  <si>
    <t>3040</t>
  </si>
  <si>
    <t>Nagrody o charakterze szczególnym niezaliczone do wynagrodzeń</t>
  </si>
  <si>
    <t>803</t>
  </si>
  <si>
    <t>Szkolnictwo wyższe</t>
  </si>
  <si>
    <t>80309</t>
  </si>
  <si>
    <t>Pomoc materialna dla studentów i doktorantów</t>
  </si>
  <si>
    <t>3250</t>
  </si>
  <si>
    <t>Stypendia różne</t>
  </si>
  <si>
    <t>80395</t>
  </si>
  <si>
    <t>Ochrona zdrowia</t>
  </si>
  <si>
    <t>85111</t>
  </si>
  <si>
    <t>Szpitale ogólne</t>
  </si>
  <si>
    <t>2560</t>
  </si>
  <si>
    <t>Dotacja podmiotowa z budżetu dla samodzielnego publicznego zakładu opieki zdrowotnej utworzonego przez jednostkę samorządu terytorialnego</t>
  </si>
  <si>
    <t>6220</t>
  </si>
  <si>
    <t>Dotacje celowe z budżetu na finansowanie lub dofinansowanie kosztów realizacji inwestycji i zakupów inwestycyjnych innych jednostek sektora finansów publicznych</t>
  </si>
  <si>
    <t>85119</t>
  </si>
  <si>
    <t>Leczenie sanatoryjno-klimatyczne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</si>
  <si>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</si>
  <si>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</si>
  <si>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</si>
  <si>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85120</t>
  </si>
  <si>
    <t>Lecznictwo psychiatryczne</t>
  </si>
  <si>
    <t>85121</t>
  </si>
  <si>
    <t>Lecznictwo ambulatoryjne</t>
  </si>
  <si>
    <t>85148</t>
  </si>
  <si>
    <t>Medycyna pracy</t>
  </si>
  <si>
    <t>85149</t>
  </si>
  <si>
    <t>Programy polityki zdrowotnej</t>
  </si>
  <si>
    <t>Zwalczanie narkomanii</t>
  </si>
  <si>
    <t>Przeciwdziałanie alkoholizmowi</t>
  </si>
  <si>
    <t>4130</t>
  </si>
  <si>
    <t>Składki na ubezpieczenie zdrowotne</t>
  </si>
  <si>
    <t>Pomoc społeczna</t>
  </si>
  <si>
    <t>Zadania w zakresie przeciwdziałania przemocy w rodzinie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</si>
  <si>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</si>
  <si>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Regionalne ośrodki polityki społecznej</t>
  </si>
  <si>
    <t>85218</t>
  </si>
  <si>
    <t>Powiatowe centra pomocy rodzinie</t>
  </si>
  <si>
    <t>85219</t>
  </si>
  <si>
    <t>Ośrodki pomocy społecznej</t>
  </si>
  <si>
    <t>4486</t>
  </si>
  <si>
    <t>4487</t>
  </si>
  <si>
    <t>Pozostałe zadania w zakresie polityki społecznej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</si>
  <si>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</si>
  <si>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</si>
  <si>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</si>
  <si>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</si>
  <si>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</si>
  <si>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854</t>
  </si>
  <si>
    <t>Edukacyjna opieka wychowawcza</t>
  </si>
  <si>
    <t>85410</t>
  </si>
  <si>
    <t>Internaty i bursy szkolne</t>
  </si>
  <si>
    <t>Opłaty na rzecz budżetów jednostek budżetowych</t>
  </si>
  <si>
    <t>Pomoc materialna dla uczniów o charakterze motywacyjnym</t>
  </si>
  <si>
    <t>Rodzina</t>
  </si>
  <si>
    <t>Zakup usług objmujących tłumaczenia</t>
  </si>
  <si>
    <t>Świadczenia rodzinne, świadczenia z funduszu alimentacyjnego oraz składki na ubezpieczenia emerytalne i rentowe z ubezpieczenia społecznego</t>
  </si>
  <si>
    <t xml:space="preserve">dotacje na zadania bieżące </t>
  </si>
  <si>
    <t>2910</t>
  </si>
  <si>
    <t>Zwrot dotacji oraz płątności, w tym wykorzystanych niezgodnie  z przeznaczeniem lub wykorzystanych z naruszeniem procedur, o których mowa w art. 184 ustawy, pobranych nienależnie lub w nadmiernej wysokości</t>
  </si>
  <si>
    <t>85503</t>
  </si>
  <si>
    <t>Karta Dużej Rodziny</t>
  </si>
  <si>
    <t>Wspieranie rodziny</t>
  </si>
  <si>
    <t>Działalność ośrodków adopcyjnych</t>
  </si>
  <si>
    <t>Działalność placówek opiekuńczo-wychowawczych</t>
  </si>
  <si>
    <t>Gospodarka komunalna i ochrona środowiska</t>
  </si>
  <si>
    <t>RG - 25.000</t>
  </si>
  <si>
    <t>OS - 73,700</t>
  </si>
  <si>
    <t>2710</t>
  </si>
  <si>
    <t>Dotacja celowa na pomoc finansową udzielaną między jednostkami samorządu terytorialnego na dofinansowanie własnych zadań bieżących</t>
  </si>
  <si>
    <t>90019</t>
  </si>
  <si>
    <t>Wpływy i wydatki związane z gromadzeniem środków z opłat i kar za korzystanie ze środowiska</t>
  </si>
  <si>
    <t>90020</t>
  </si>
  <si>
    <t>Wpływy i wydatki związane z gromadzeniem środków z opłat produktowych</t>
  </si>
  <si>
    <t>90024</t>
  </si>
  <si>
    <t>Wpływy i wydatki związane z wprowadzeniem do obrotu baterii i akumulatorów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</si>
  <si>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</si>
  <si>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</si>
  <si>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</si>
  <si>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</si>
  <si>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</si>
  <si>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</si>
  <si>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</si>
  <si>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</si>
  <si>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</si>
  <si>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</si>
  <si>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Filharmonie, orkiestry, chóry i kapele</t>
  </si>
  <si>
    <t>92109</t>
  </si>
  <si>
    <t>Domy i ośrodki kultury, świetlice i kluby</t>
  </si>
  <si>
    <t>92110</t>
  </si>
  <si>
    <t>Galerie i biura wystaw artystycznych</t>
  </si>
  <si>
    <t>92114</t>
  </si>
  <si>
    <t>Pozostałe instytucje kultury</t>
  </si>
  <si>
    <t xml:space="preserve">Dotacja celowa na pomoc finansową udzielaną między jednostkami samorządu terytorialnego na dofinansowanie własnych zadań bieżących 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</si>
  <si>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</si>
  <si>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</si>
  <si>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</si>
  <si>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DO - 7.000</t>
  </si>
  <si>
    <t>KZ - 15,000</t>
  </si>
  <si>
    <t>DO - 108.000</t>
  </si>
  <si>
    <t>925</t>
  </si>
  <si>
    <t>Ogrody botaniczne i zoologiczne oraz naturalne obszary i obiekty chronionej przyrody</t>
  </si>
  <si>
    <t>92502</t>
  </si>
  <si>
    <t>Parki krajobrazowe</t>
  </si>
  <si>
    <t>92595</t>
  </si>
  <si>
    <t>Kultura fizyczna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</si>
  <si>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</si>
  <si>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</si>
  <si>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</si>
  <si>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</si>
  <si>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</si>
  <si>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</si>
  <si>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</si>
  <si>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</si>
  <si>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</si>
  <si>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</si>
  <si>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</si>
  <si>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</si>
  <si>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</si>
  <si>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</si>
  <si>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</si>
  <si>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</si>
  <si>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</si>
  <si>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</si>
  <si>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</si>
  <si>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Plan dochodów na 2017 r. według działów, rozdziałów, paragrafów klasyfikacji budżetowej oraz źródeł dochodów</t>
  </si>
  <si>
    <t>Rozdz.</t>
  </si>
  <si>
    <t>Źródło pochodzenia</t>
  </si>
  <si>
    <t xml:space="preserve">Biura geodezji i terenów rolnych </t>
  </si>
  <si>
    <t>a) dochody bieżące, w tym:</t>
  </si>
  <si>
    <t>Dochody realizowane przez Podkarpackie Biuro Geodezji i Terenów Rolnych w Rzeszowie z tytułu: scaleń gruntów w ramach PROW na lata 2014-2020 oraz okołoautosradowych, prowizji dla płatników za rozliczanie i terminowe wpłaty podatku dochodowego oraz rozliczenie  Z ZUS, zwrotów opłat za korzystanie z centrali telefonicznej</t>
  </si>
  <si>
    <t>0830</t>
  </si>
  <si>
    <t>0970</t>
  </si>
  <si>
    <t>b) dochody majątkowe</t>
  </si>
  <si>
    <t>Dochody realizowane przez Podkarpacki Zarząd Melioracji i Urządzeń Wodnych w Rzeszowie z tytułu wynajmu wolnych powierzchni biurowych i garażowych, zwrotu opłat za media, prowizji dla płatników za rozliczenie i terminowe wpłaty podatku dochodowego od osób fizycznych oraz rozliczenie z ZUS</t>
  </si>
  <si>
    <t>0750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</si>
  <si>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</si>
  <si>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</si>
  <si>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</si>
  <si>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</si>
  <si>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realizowane w ramach Projektu ochrony przeciwpowodziowej w dorzeczu Odry i Wisły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</si>
  <si>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</si>
  <si>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</si>
  <si>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</si>
  <si>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</si>
  <si>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Wpływy z tytułu opłat za wyłączenie z produkcji gruntów rolnych</t>
  </si>
  <si>
    <t>0690</t>
  </si>
  <si>
    <t xml:space="preserve">Usuwanie skutków klęsk żywiołowych </t>
  </si>
  <si>
    <t>Dotacja celowa z budżetu państwa na współfinansowanie inwestycji melioracyjnych w ramach Regionalnego Programu Operacyjnego Województwa Podkarpackiego na lata 2014 - 2020</t>
  </si>
  <si>
    <t xml:space="preserve">RYBOŁÓWSTWO I RYBACTWO 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</si>
  <si>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</si>
  <si>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</si>
  <si>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</si>
  <si>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 xml:space="preserve">b) dochody majątkowe </t>
  </si>
  <si>
    <t>Dzierżawa autobusów szynowych</t>
  </si>
  <si>
    <t>Zwrot podatku VAT od usługi naprawy pojazdu szynowego</t>
  </si>
  <si>
    <t>Dotacje otrzymane z państwowych funduszy celowych na realizację zadań bieżących jednostek sektora finansów publicznych</t>
  </si>
  <si>
    <t>2440</t>
  </si>
  <si>
    <t xml:space="preserve">Opłaty za wydawanie zezwoleń na regularny przewóz osób </t>
  </si>
  <si>
    <t>Dochody realizowane przez Podkarpacki Zarząd Dróg Wojewódzkich w Rzeszowie z tytułu wynagrodzenia płatnika za rozliczenie i terminowe wpłaty podatku dochodowego od osób fizycznych oraz wypłacanych świadczeń z ubezpieczenia chorobowego oraz wpływów za wydane decyzje za zajęcie pasa drogowego</t>
  </si>
  <si>
    <t>Dotacja celowa z budżetu państwa z przeznaczeniem na dofinansowanie zadań z zakresu remontu, utrzymania i zarządzania drogami wojewódzkimi</t>
  </si>
  <si>
    <t>2230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</si>
  <si>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</si>
  <si>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inwestycji drogowych w ramach Programu Operacyjnego Polska Wschodnia na lata 2014-2020</t>
  </si>
  <si>
    <t>Dotacja celowa otrzymana z tytułu pomocy finansowej udzielanej między jednostkami samorządu terytorialnego na dofinansowanie własnych zadań inwestycyjnych i zakupów inwestycyjnych</t>
  </si>
  <si>
    <t xml:space="preserve">Dochody z tytułu opłat za wpis do rejestru przedsiębiorców prowadzących pracownię psychologiczną, za wpis do ewidencji uprawnionych psychologów, za wpis do ewidencji uprawnionych lekarzy </t>
  </si>
  <si>
    <t>GOSPODARKA MIESZKANIOWA</t>
  </si>
  <si>
    <t>Opłaty za trwały zarząd, użytkowanie i służebności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</si>
  <si>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</si>
  <si>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</si>
  <si>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</si>
  <si>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</si>
  <si>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</si>
  <si>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</si>
  <si>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</si>
  <si>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</si>
  <si>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1) Działki okołolotniskowe - wartość 9.400.000,-zł,
2) Krosno - działka nr 1072/44 o pow. 1,0487 ha, zabudowana budynkiem spalarni, kotłowni i garażu pozostająca w nieodpłatnym użytkowaniu Wojewódzkiego Szpitala Podkarpackiego im. Jana Pawła II w Krośnie - wartość szacunkowa 300.000,-zł,
3) Krosno ul. Korczyńska - działka nr 1062/10 o pow. 0,0062 ha, stanowiąca własność Województwa Podkarpackiego, pozostająca w trwałym zarządzie Prezydenta Miasta Krosna - wartość szacunkowa 1.500,-zł,
4) Krosno ul. Korczyńska - działka nr 1062/11 o pow. 0,700 ha, stanowiąca własność Województwa Podkarpackiego, pozostająca w trwałym zarządzie Prezydenta Miasta Krosna - wartość szacunkowa 15.000,-zł,
5) Przemyśl ul. Łukasińskiego (obiekt byłego Kolegium Nauczycielskiego im. A.Fredry w Przemyślu) - wartość 2.200.000,-zł (rejestr zabytków - 50% bonifikaty) wartość 1.100.000,-zł.</t>
  </si>
  <si>
    <t>Dochody realizowane przez Podkarpackie Biuro Planowania Przestrzennego w Rzeszowie z tytułu najmu składników majątkowych i zwrotu opłat za media</t>
  </si>
  <si>
    <t>Dochody realizowane przez Wojewódzki Ośrodek Dokumentacji Geodezyjnej i Kartograficznej w Rzeszowie z tytułuudostępniania danych z zasobu geodezyjnegi i kartograficznego, prowizji dla płątników za rozliczenie i terminowe wpłaty podatku dochodowego od osób fizycznych</t>
  </si>
  <si>
    <t>2210</t>
  </si>
  <si>
    <t>Dotacje celowe otrzymane z budżetu państwa na inwestycje i zakupy inwestycyjne z zakresu administracji rządowej oraz inne zadania zlecone ustawami realizowane przez samorząd województwa</t>
  </si>
  <si>
    <t>INFORMATYKA</t>
  </si>
  <si>
    <t xml:space="preserve">Wpływy z refundacji opłat za dysponowanie nieruchomościami w związku z utrzymaniem infrastruktury wytworzonej projektu pn.: "Sieć Szerokopasmowa Polski Wschodniej - Województwo Podkarpackie" </t>
  </si>
  <si>
    <t>NAUKA</t>
  </si>
  <si>
    <t>Środki pochodzące z budżetu Unii Europejskiej jako refundacja wydatków poniesionych ze środków własnych na realizację projektu pn. "Żywe laboratorium polityki publicznej" w ramach Programu INTERREG EUROPA 2014-2020</t>
  </si>
  <si>
    <t xml:space="preserve">Dotacje celowe z budżetu państwa na zadania bieżące z zakresu administracji rządowej oraz inne zadania zlecone ustawami realizowane przez samorząd województwa </t>
  </si>
  <si>
    <t>Dochody realizowane przez Urząd Marszałkowski z tytułu najmu i dzierżawy pomieszczeń budynku przy ul. Cieplińskiego 4, wpływów za media, refundacji wyngrodzeń  i skłądek ZUS osób zatrudnionych w ramach prac interewncyjnych, odszkodowań komunikacyjnych, kosztów upomnień dotyczących opłaty melioracyjnej, udostępniania informacji o środowisku</t>
  </si>
  <si>
    <t xml:space="preserve">Dotacje celowe otrzymane z budżetu państwa na realizację bieżących zadań własnych samorządu województwa </t>
  </si>
  <si>
    <t>Wpływy z tytułu pomocy finansowej udzielanej między jednostkami samorządu terytorialnego na dofinansowanie własnych zadań bieżących</t>
  </si>
  <si>
    <t>Środki pochodzące z budżetu Unii Europejskiej na realizację projektu pn. „System Informacji o Funduszach Europejskich” w ramach Programu Operacyjnego Pomoc Techniczna na lata 2014-2020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</si>
  <si>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</si>
  <si>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Dotacja celowa z budżetu państwa na realizację projektu pn. „System Informacji o Funduszach Europejskich”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</si>
  <si>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</si>
  <si>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realizaję projektu pn. "Pomoc Techniczna w ramach Programu Współpracy Transgranicznej INTERREG V-A Polska - Słowacja 2014-2020"</t>
  </si>
  <si>
    <t>Dotacja celowa z budżetu państwa jako refundacja wydatków poniesionych ze środków własnych na realizaję projektu pn. "Pomoc Techniczna w ramach Programu Współpracy Transgranicznej INTERREG V-A Polska - Słowacja 2014-2020"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</si>
  <si>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</si>
  <si>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</si>
  <si>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za zezwolenia na hurtową sprzedaż alkoholu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</si>
  <si>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</si>
  <si>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</si>
  <si>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</si>
  <si>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</si>
  <si>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</si>
  <si>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</si>
  <si>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</si>
  <si>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</si>
  <si>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</si>
  <si>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</si>
  <si>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</si>
  <si>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a) dochody bieżące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</si>
  <si>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</si>
  <si>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</si>
  <si>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</si>
  <si>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</si>
  <si>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</si>
  <si>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</si>
  <si>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</si>
  <si>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2007 - 2013</t>
  </si>
  <si>
    <t>Dotacja celowa z budżetu państwa na współfinansowanie projektów w ramach Regionalnego Programu Operacyjnego Województwa Podkarpackiego na lata 2007 - 2013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</si>
  <si>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</si>
  <si>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</si>
  <si>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</si>
  <si>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</si>
  <si>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</si>
  <si>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</si>
  <si>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wydatków na realizację projektów własnych w ramach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</si>
  <si>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</si>
  <si>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</si>
  <si>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 xml:space="preserve">Dotacja celowa z budżetu państwa na współfinansowanie projektów własnych w ramach Regionalnego Programu Operacyjnego Województwa Podkarpackiego na lata 2014 – 2020 </t>
  </si>
  <si>
    <t>OŚWIATA I WYCHOWANIE</t>
  </si>
  <si>
    <t xml:space="preserve">Dochody realizowane przez jednostki oświatowe z tytułu prowizji dla płatników za rozliczenie i terminowe wpłaty podatku dochodowego od osób fizycznych </t>
  </si>
  <si>
    <t>Dochody realizowane przez jednostki oświatowe z tytułu prowizji dla płatników za rozliczenie i terminowe wpłaty podatku dochodowego od osób fizycznych oraz rozliczenie z ZUS</t>
  </si>
  <si>
    <t xml:space="preserve">Dochody realizowane przez jednostki oświatowe z tytułu zwrotu opłat za media, prowizji dla płatników za rozliczenie i terminowe wpłaty podatku dochodowego od osób fizycznych </t>
  </si>
  <si>
    <t>Środki pochodzące z budżetu Unii Europejskiej na realizację projektu pn. "Rozwijanie profesjonalizmu" w ramach Programu ERASMUS+</t>
  </si>
  <si>
    <t>2051</t>
  </si>
  <si>
    <t>OCHRONA ZDROWIA</t>
  </si>
  <si>
    <t>Zwrot dotacji wykorzystanych niezgodnie z przeznaczeniem, pobranych nienależnie lub w nadmiernej wysokości przez samodzielne publiczne zakłady opieki zdrowotnej</t>
  </si>
  <si>
    <t>Odsetki od dotacji wykorzystanych niezgodnie z przeznaczeniem, pobranych nienależnie lub w nadmiernej wysokości</t>
  </si>
  <si>
    <t>0900</t>
  </si>
  <si>
    <t>Zwrot dotacji wykorzystanych niezgodnie z przeznaczeniem, pobranych nienależnie lub w nadmiernej wysokości na realizację zadań z zakresu przeciwdziałania alkoholizmowi</t>
  </si>
  <si>
    <t>POMOC SPOŁECZNA</t>
  </si>
  <si>
    <t>Dotacje celowe otrzymane z budżetu państwa na realizację bieżących zadań własnych samorządu województwa</t>
  </si>
  <si>
    <t>Dochody z tytułu zwrotu kosztów upomnienia dotyczącego nienależnie pobranych świadczeń rodzinnych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</si>
  <si>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</si>
  <si>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</si>
  <si>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</si>
  <si>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Dotacja celowa z budżetu państwa na współfinansowanie projektów w ramach Programu Operacyjnego Wiedza, Edukacja, Rozwój 2014 - 2020</t>
  </si>
  <si>
    <t>Dotacja celowa z budżetu państwa na finansowanie wydatków objętych Pomocą Techniczną Programu Operacyjnego Wiedza, Edukacja, Rozwój 2014 - 2020</t>
  </si>
  <si>
    <t>Środki z Funduszu Gwarantowanych Świadczeń Pracowniczych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</si>
  <si>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</si>
  <si>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</si>
  <si>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 xml:space="preserve">3% wpływu z opłat za korzystanie ze środowiska </t>
  </si>
  <si>
    <t xml:space="preserve">10% wpływu z tytułu opłaty produktowej oraz dodatkowej opłaty produktowej (opakowania) </t>
  </si>
  <si>
    <t>0400</t>
  </si>
  <si>
    <t xml:space="preserve">Wpływy i wydatki związane z wprowadzeniem do obrotu baterii i akumulatorów </t>
  </si>
  <si>
    <t>5% wpływu z tytułu opłat za wprowadzanie do obrotu baterii i akumulatorów</t>
  </si>
  <si>
    <t>Zwrot dotacji wykorzystanych niezgodnie z przeznaczeniem, pobranych nienależnie lub w nadmiernej wysokości na realizację zadań z zakresu kultury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</si>
  <si>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</si>
  <si>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</si>
  <si>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</si>
  <si>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OGRODY BOTANICZNE I ZOOLOGICZNE ORAZ NATURALNE OBSZARY I OBIEKTY CHRONIONEJ PRZYRODY</t>
  </si>
  <si>
    <t>dochody bieżące</t>
  </si>
  <si>
    <t>dochody majątkowe</t>
  </si>
  <si>
    <r>
      <t xml:space="preserve">Budowa drogi wojewódzkiej nr 992 Jasło– Granica Państwa na odcinku pomiędzy drogą krajową Nr 28 a drogą krajową Nr 73
</t>
    </r>
    <r>
      <rPr>
        <sz val="9"/>
        <rFont val="Arial"/>
        <family val="2"/>
        <charset val="238"/>
      </rPr>
      <t>Regionalny Program Operacyjny Województwa Podkarpackiego na lata 2014-2020</t>
    </r>
  </si>
  <si>
    <t xml:space="preserve">Wypłaty z tytułu krajowych poręczeń i gwarancji </t>
  </si>
  <si>
    <t>na zadania z zakresu zapewnienia instytucjonalnej pieczy zastępczej (wsparcie prowadzenia regionalnych placówek opiekuńczo-terapeutycznych)</t>
  </si>
  <si>
    <t>2380</t>
  </si>
  <si>
    <t>Dotacje celowe otrzymane z budżetu państwa na zadania bieżące z zakresu administracji rządowej zlecone samorządom województw, związane z realizacją świadczenia wychowawczego stanowiącego pomoc państwa w wychowaniu dzieci</t>
  </si>
  <si>
    <r>
      <t xml:space="preserve">Przebudowa, adaptacja, modernizacja i zmiana sposobu użytkowania budynku przy ul. Naruszewicza 11 w Rzeszowie, na cele pomieszczeń biurowych, obejmująca głeboką termomodernizację budynku
</t>
    </r>
    <r>
      <rPr>
        <sz val="9"/>
        <rFont val="Arial"/>
        <family val="2"/>
        <charset val="238"/>
      </rPr>
      <t>Regionalny Program Operacyjny Województwa Podkarpackiego na lata 2014-2020</t>
    </r>
  </si>
  <si>
    <t>Tabela Nr 1 do Uchwały Nr XXX/538/16
Sejmiku Województwa Podkarpackiego 
w Rzeszowie z dnia 29 grudnia 2016 r.</t>
  </si>
  <si>
    <t>Tabela Nr 2 do Uchwały Nr XXX/538/16
Sejmiku Województwa Podkarpackiego 
w Rzeszowie z dnia 29 grudnia 2016 r.</t>
  </si>
  <si>
    <t>Tabela Nr 3 do Uchwały Nr XXX/538/16
Sejmiku Województwa Podkarpackiego 
w Rzeszowie z dnia 29 grudnia 2016 r.</t>
  </si>
  <si>
    <t>Tabela Nr 4 do Uchwały Nr XXX/538/16
Sejmiku Województwa Podkarpackiego 
w Rzeszowie z dnia 29 grudnia 2016 r.</t>
  </si>
  <si>
    <t>Załącznik Nr 1
do  Uchwały Nr XXX/538/16
Sejmiku Województwa Podkarpackiego 
 w Rzeszowie  z dnia 29 grudnia 2016 r.</t>
  </si>
  <si>
    <t>Załącznik Nr 2
do  Uchwały Nr XXX/538/16
Sejmiku Województwa Podkarpackiego 
 w Rzeszowie  z dnia 29 grudnia 2016 r.</t>
  </si>
  <si>
    <t>Załącznik Nr 3
do  Uchwały Nr XXX/538/16
Sejmiku Województwa Podkarpackiego 
 w Rzeszowie  z dnia 29 grudnia 2016 r.</t>
  </si>
  <si>
    <t>Załącznik Nr 4
do  Uchwały Nr XXX/538/16
Sejmiku Województwa Podkarpackiego 
 w Rzeszowie  z dnia 29 grudnia 2016 r.</t>
  </si>
  <si>
    <t>Załącznik Nr 5
do  Uchwały Nr XXX/538/16
Sejmiku Województwa Podkarpackiego 
 w Rzeszowie  z dnia 29 grudnia 2016 r.</t>
  </si>
  <si>
    <t>Załącznik Nr 6
do  Uchwały Nr XXX/538/16
Sejmiku Województwa Podkarpackiego 
 w Rzeszowie  z dnia 29 grudnia 2016 r.</t>
  </si>
  <si>
    <t>Załącznik Nr 7
do  Uchwały Nr XXX/538/16
Sejmiku Województwa Podkarpackiego 
 w Rzeszowie  z dnia 29 grudnia 2016 r.</t>
  </si>
  <si>
    <t>Załącznik Nr 8
do  Uchwały Nr XXX/538/16
Sejmiku Województwa Podkarpackiego 
 w Rzeszowie  z dnia 29 grudnia 2016 r.</t>
  </si>
  <si>
    <t>Załącznik Nr 9
do  Uchwały Nr XXX/538/16
Sejmiku Województwa Podkarpackiego 
 w Rzeszowie  z dnia 29 grudnia 2016 r.</t>
  </si>
  <si>
    <t>Załącznik Nr 10
do  Uchwały Nr XXX/538/16
Sejmiku Województwa Podkarpackiego 
 w Rzeszowie  z dnia 29 grudnia 2016 r.</t>
  </si>
  <si>
    <t>Załącznik Nr 11
do  Uchwały Nr XXX/538/16
Sejmiku Województwa Podkarpackiego 
 w Rzeszowie  z dnia 29 grudnia 2016 r.</t>
  </si>
  <si>
    <t>Załącznik Nr 12
do  Uchwały Nr XXX/538/16
Sejmiku Województwa Podkarpackiego 
 w Rzeszowie  z dnia 29 grudnia 2016 r.</t>
  </si>
  <si>
    <t>Załącznik Nr 13
do  Uchwały Nr XXX/538/16
Sejmiku Województwa Podkarpackiego 
 w Rzeszowie  z dnia 29 grudnia 2016 r.</t>
  </si>
  <si>
    <t>Załącznik Nr 14
do  Uchwały Nr XXX/538/16
Sejmiku Województwa Podkarpackiego 
 w Rzeszowie  z dnia 29 grudnia 2016 r.</t>
  </si>
  <si>
    <t>Załącznik Nr 15
do  Uchwały Nr XXX/538/16
Sejmiku Województwa Podkarpackiego 
 w Rzeszowie  z dnia 29 grudnia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</si>
</sst>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 CE"/>
      <charset val="238"/>
    </font>
    <font>
      <b/>
      <sz val="10"/>
      <name val="Arial CE"/>
      <charset val="238"/>
    </font>
    <font>
      <b/>
      <sz val="10"/>
      <color theme="1"/>
      <name val="Arial"/>
      <family val="2"/>
      <charset val="238"/>
    </font>
    <font>
      <sz val="14"/>
      <name val="Arial CE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sz val="10"/>
      <color rgb="FFFF0000"/>
      <name val="Arial"/>
      <family val="2"/>
      <charset val="238"/>
    </font>
    <font>
      <i/>
      <sz val="10"/>
      <name val="Times New Roman CE"/>
      <family val="1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0"/>
      <name val="Arial CE"/>
      <charset val="238"/>
    </font>
    <font>
      <b/>
      <sz val="11"/>
      <name val="Arial CE"/>
      <charset val="238"/>
    </font>
    <font>
      <b/>
      <i/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i/>
      <sz val="10"/>
      <color rgb="FFFF0000"/>
      <name val="Arial CE"/>
      <charset val="238"/>
    </font>
    <font>
      <i/>
      <sz val="10"/>
      <name val="Arial CE"/>
      <charset val="238"/>
    </font>
    <font>
      <i/>
      <sz val="12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i/>
      <sz val="14"/>
      <name val="Arial"/>
      <family val="2"/>
    </font>
    <font>
      <sz val="10"/>
      <name val="Arial"/>
      <family val="2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b/>
      <i/>
      <sz val="10"/>
      <color theme="1"/>
      <name val="Arial CE"/>
      <charset val="238"/>
    </font>
    <font>
      <b/>
      <sz val="11"/>
      <color theme="1"/>
      <name val="Arial CE"/>
      <charset val="238"/>
    </font>
    <font>
      <i/>
      <sz val="11"/>
      <name val="Arial CE"/>
      <charset val="238"/>
    </font>
    <font>
      <b/>
      <i/>
      <sz val="11"/>
      <color theme="1"/>
      <name val="Arial CE"/>
      <charset val="238"/>
    </font>
    <font>
      <sz val="10"/>
      <color theme="1"/>
      <name val="Czcionka tekstu podstawowego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99FF3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</fills>
  <borders count="19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6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5" fillId="0" borderId="0"/>
    <xf numFmtId="0" fontId="2" fillId="0" borderId="0"/>
    <xf numFmtId="0" fontId="5" fillId="0" borderId="0"/>
    <xf numFmtId="0" fontId="1" fillId="0" borderId="0"/>
    <xf numFmtId="0" fontId="33" fillId="0" borderId="0"/>
  </cellStyleXfs>
  <cellXfs count="1934">
    <xf numFmtId="0" fontId="0" fillId="0" borderId="0" xfId="0"/>
    <xf numFmtId="0" fontId="5" fillId="0" borderId="0" xfId="1"/>
    <xf numFmtId="3" fontId="5" fillId="0" borderId="0" xfId="1" applyNumberFormat="1"/>
    <xf numFmtId="0" fontId="7" fillId="0" borderId="3" xfId="1" applyFont="1" applyBorder="1" applyAlignment="1">
      <alignment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5" fillId="0" borderId="0" xfId="1" applyBorder="1"/>
    <xf numFmtId="0" fontId="8" fillId="0" borderId="0" xfId="1" applyFont="1" applyBorder="1" applyAlignment="1">
      <alignment horizontal="right" vertical="center" wrapText="1"/>
    </xf>
    <xf numFmtId="0" fontId="19" fillId="0" borderId="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4" fontId="5" fillId="0" borderId="0" xfId="1" applyNumberFormat="1"/>
    <xf numFmtId="3" fontId="17" fillId="2" borderId="4" xfId="1" applyNumberFormat="1" applyFont="1" applyFill="1" applyBorder="1" applyAlignment="1">
      <alignment vertical="center"/>
    </xf>
    <xf numFmtId="3" fontId="11" fillId="4" borderId="4" xfId="1" applyNumberFormat="1" applyFont="1" applyFill="1" applyBorder="1" applyAlignment="1">
      <alignment vertical="center"/>
    </xf>
    <xf numFmtId="0" fontId="12" fillId="0" borderId="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left" vertical="center"/>
    </xf>
    <xf numFmtId="3" fontId="7" fillId="0" borderId="8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3" fontId="17" fillId="2" borderId="20" xfId="1" applyNumberFormat="1" applyFont="1" applyFill="1" applyBorder="1" applyAlignment="1">
      <alignment horizontal="right" vertical="center"/>
    </xf>
    <xf numFmtId="0" fontId="17" fillId="2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vertical="center"/>
    </xf>
    <xf numFmtId="3" fontId="7" fillId="0" borderId="19" xfId="1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28" xfId="1" applyFont="1" applyBorder="1" applyAlignment="1">
      <alignment vertical="center" wrapText="1"/>
    </xf>
    <xf numFmtId="3" fontId="7" fillId="0" borderId="21" xfId="4" applyNumberFormat="1" applyFont="1" applyFill="1" applyBorder="1" applyAlignment="1">
      <alignment vertical="center"/>
    </xf>
    <xf numFmtId="3" fontId="7" fillId="0" borderId="21" xfId="4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2" fillId="0" borderId="18" xfId="1" applyFont="1" applyBorder="1" applyAlignment="1">
      <alignment horizontal="center" vertical="center"/>
    </xf>
    <xf numFmtId="0" fontId="12" fillId="4" borderId="13" xfId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 wrapText="1"/>
    </xf>
    <xf numFmtId="0" fontId="7" fillId="0" borderId="0" xfId="1" applyFont="1"/>
    <xf numFmtId="3" fontId="11" fillId="3" borderId="4" xfId="1" applyNumberFormat="1" applyFont="1" applyFill="1" applyBorder="1" applyAlignment="1">
      <alignment horizontal="right" vertical="center"/>
    </xf>
    <xf numFmtId="0" fontId="23" fillId="3" borderId="4" xfId="1" applyFont="1" applyFill="1" applyBorder="1" applyAlignment="1">
      <alignment vertical="center"/>
    </xf>
    <xf numFmtId="49" fontId="11" fillId="3" borderId="4" xfId="1" applyNumberFormat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1" fillId="0" borderId="4" xfId="1" applyFont="1" applyFill="1" applyBorder="1" applyAlignment="1">
      <alignment horizontal="left" vertical="center" wrapText="1"/>
    </xf>
    <xf numFmtId="3" fontId="21" fillId="0" borderId="4" xfId="1" applyNumberFormat="1" applyFont="1" applyFill="1" applyBorder="1" applyAlignment="1">
      <alignment horizontal="right" vertical="center"/>
    </xf>
    <xf numFmtId="49" fontId="21" fillId="0" borderId="4" xfId="1" applyNumberFormat="1" applyFont="1" applyFill="1" applyBorder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6" fillId="0" borderId="0" xfId="1" applyFont="1" applyAlignment="1">
      <alignment wrapText="1"/>
    </xf>
    <xf numFmtId="0" fontId="23" fillId="2" borderId="12" xfId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right" vertical="center"/>
    </xf>
    <xf numFmtId="3" fontId="11" fillId="2" borderId="4" xfId="1" applyNumberFormat="1" applyFont="1" applyFill="1" applyBorder="1" applyAlignment="1">
      <alignment horizontal="right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top"/>
    </xf>
    <xf numFmtId="0" fontId="24" fillId="0" borderId="0" xfId="1" applyFont="1" applyAlignment="1">
      <alignment vertical="center"/>
    </xf>
    <xf numFmtId="3" fontId="24" fillId="0" borderId="0" xfId="1" applyNumberFormat="1" applyFont="1" applyBorder="1" applyAlignment="1">
      <alignment horizontal="right" vertical="center"/>
    </xf>
    <xf numFmtId="0" fontId="24" fillId="0" borderId="0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49" fontId="25" fillId="0" borderId="0" xfId="1" applyNumberFormat="1" applyFont="1" applyBorder="1" applyAlignment="1">
      <alignment horizontal="center" vertical="top"/>
    </xf>
    <xf numFmtId="49" fontId="24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6" fillId="0" borderId="0" xfId="2"/>
    <xf numFmtId="3" fontId="20" fillId="0" borderId="0" xfId="2" applyNumberFormat="1" applyFont="1" applyBorder="1"/>
    <xf numFmtId="0" fontId="20" fillId="0" borderId="0" xfId="11" applyFont="1" applyBorder="1" applyAlignment="1">
      <alignment wrapText="1"/>
    </xf>
    <xf numFmtId="0" fontId="20" fillId="0" borderId="0" xfId="2" applyFont="1" applyBorder="1" applyAlignment="1">
      <alignment horizontal="center"/>
    </xf>
    <xf numFmtId="3" fontId="28" fillId="0" borderId="0" xfId="2" applyNumberFormat="1" applyFont="1" applyBorder="1"/>
    <xf numFmtId="0" fontId="29" fillId="0" borderId="0" xfId="2" applyFont="1" applyBorder="1" applyAlignment="1">
      <alignment horizontal="center"/>
    </xf>
    <xf numFmtId="3" fontId="6" fillId="0" borderId="0" xfId="2" applyNumberFormat="1"/>
    <xf numFmtId="3" fontId="11" fillId="2" borderId="4" xfId="2" applyNumberFormat="1" applyFont="1" applyFill="1" applyBorder="1" applyAlignment="1">
      <alignment vertical="center"/>
    </xf>
    <xf numFmtId="0" fontId="7" fillId="0" borderId="3" xfId="11" applyFont="1" applyBorder="1"/>
    <xf numFmtId="0" fontId="7" fillId="0" borderId="2" xfId="11" applyFont="1" applyBorder="1"/>
    <xf numFmtId="0" fontId="7" fillId="0" borderId="28" xfId="11" applyFont="1" applyBorder="1"/>
    <xf numFmtId="0" fontId="30" fillId="0" borderId="0" xfId="2" applyFont="1"/>
    <xf numFmtId="3" fontId="30" fillId="0" borderId="0" xfId="2" applyNumberFormat="1" applyFont="1"/>
    <xf numFmtId="0" fontId="7" fillId="0" borderId="0" xfId="2" applyFont="1" applyBorder="1"/>
    <xf numFmtId="0" fontId="7" fillId="0" borderId="4" xfId="2" applyFont="1" applyFill="1" applyBorder="1" applyAlignment="1">
      <alignment horizontal="center"/>
    </xf>
    <xf numFmtId="0" fontId="7" fillId="0" borderId="2" xfId="11" applyFont="1" applyBorder="1" applyAlignment="1">
      <alignment wrapText="1"/>
    </xf>
    <xf numFmtId="3" fontId="6" fillId="0" borderId="0" xfId="2" applyNumberFormat="1" applyFont="1"/>
    <xf numFmtId="0" fontId="7" fillId="0" borderId="0" xfId="11" applyFont="1" applyFill="1" applyBorder="1" applyAlignment="1">
      <alignment wrapText="1"/>
    </xf>
    <xf numFmtId="3" fontId="12" fillId="4" borderId="12" xfId="2" applyNumberFormat="1" applyFont="1" applyFill="1" applyBorder="1" applyAlignment="1">
      <alignment horizontal="right"/>
    </xf>
    <xf numFmtId="3" fontId="12" fillId="4" borderId="4" xfId="2" applyNumberFormat="1" applyFont="1" applyFill="1" applyBorder="1" applyAlignment="1">
      <alignment horizontal="right"/>
    </xf>
    <xf numFmtId="0" fontId="11" fillId="2" borderId="12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7" fillId="0" borderId="0" xfId="2" applyFont="1"/>
    <xf numFmtId="0" fontId="11" fillId="3" borderId="4" xfId="1" applyFont="1" applyFill="1" applyBorder="1" applyAlignment="1">
      <alignment horizontal="center" vertical="center"/>
    </xf>
    <xf numFmtId="0" fontId="7" fillId="0" borderId="3" xfId="11" applyFont="1" applyBorder="1" applyAlignment="1">
      <alignment wrapText="1"/>
    </xf>
    <xf numFmtId="0" fontId="7" fillId="0" borderId="3" xfId="11" applyFont="1" applyBorder="1" applyAlignment="1">
      <alignment vertical="center" wrapText="1"/>
    </xf>
    <xf numFmtId="0" fontId="7" fillId="0" borderId="28" xfId="11" applyFont="1" applyBorder="1" applyAlignment="1">
      <alignment vertical="center" wrapText="1"/>
    </xf>
    <xf numFmtId="0" fontId="7" fillId="0" borderId="2" xfId="11" applyFont="1" applyBorder="1" applyAlignment="1">
      <alignment vertical="center" wrapText="1"/>
    </xf>
    <xf numFmtId="3" fontId="7" fillId="0" borderId="17" xfId="2" applyNumberFormat="1" applyFont="1" applyBorder="1" applyAlignment="1">
      <alignment vertical="center"/>
    </xf>
    <xf numFmtId="3" fontId="7" fillId="0" borderId="5" xfId="2" applyNumberFormat="1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3" fontId="7" fillId="0" borderId="23" xfId="2" applyNumberFormat="1" applyFont="1" applyBorder="1" applyAlignment="1">
      <alignment vertical="center"/>
    </xf>
    <xf numFmtId="3" fontId="12" fillId="4" borderId="4" xfId="2" applyNumberFormat="1" applyFont="1" applyFill="1" applyBorder="1" applyAlignment="1">
      <alignment vertical="center"/>
    </xf>
    <xf numFmtId="3" fontId="12" fillId="4" borderId="12" xfId="2" applyNumberFormat="1" applyFont="1" applyFill="1" applyBorder="1" applyAlignment="1">
      <alignment vertical="center"/>
    </xf>
    <xf numFmtId="3" fontId="7" fillId="0" borderId="18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21" xfId="2" applyNumberFormat="1" applyFont="1" applyBorder="1" applyAlignment="1">
      <alignment vertical="center"/>
    </xf>
    <xf numFmtId="0" fontId="7" fillId="0" borderId="34" xfId="1" applyFont="1" applyFill="1" applyBorder="1" applyAlignment="1">
      <alignment horizontal="left" vertical="center"/>
    </xf>
    <xf numFmtId="0" fontId="7" fillId="0" borderId="1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5" fillId="0" borderId="0" xfId="1" applyFont="1"/>
    <xf numFmtId="0" fontId="11" fillId="4" borderId="4" xfId="1" applyFont="1" applyFill="1" applyBorder="1" applyAlignment="1">
      <alignment horizontal="center" vertical="center"/>
    </xf>
    <xf numFmtId="3" fontId="11" fillId="4" borderId="12" xfId="4" applyNumberFormat="1" applyFont="1" applyFill="1" applyBorder="1" applyAlignment="1">
      <alignment vertical="center"/>
    </xf>
    <xf numFmtId="0" fontId="31" fillId="0" borderId="0" xfId="1" applyFont="1"/>
    <xf numFmtId="0" fontId="7" fillId="0" borderId="34" xfId="1" applyFont="1" applyFill="1" applyBorder="1" applyAlignment="1">
      <alignment horizontal="left" vertical="center" wrapText="1"/>
    </xf>
    <xf numFmtId="0" fontId="12" fillId="0" borderId="34" xfId="1" applyFont="1" applyFill="1" applyBorder="1" applyAlignment="1">
      <alignment horizontal="center" vertical="center"/>
    </xf>
    <xf numFmtId="3" fontId="7" fillId="0" borderId="23" xfId="1" applyNumberFormat="1" applyFont="1" applyFill="1" applyBorder="1" applyAlignment="1">
      <alignment vertical="center"/>
    </xf>
    <xf numFmtId="3" fontId="12" fillId="4" borderId="12" xfId="1" applyNumberFormat="1" applyFont="1" applyFill="1" applyBorder="1" applyAlignment="1">
      <alignment vertical="center"/>
    </xf>
    <xf numFmtId="3" fontId="7" fillId="0" borderId="21" xfId="1" applyNumberFormat="1" applyFont="1" applyFill="1" applyBorder="1" applyAlignment="1">
      <alignment vertical="center"/>
    </xf>
    <xf numFmtId="3" fontId="7" fillId="0" borderId="23" xfId="1" applyNumberFormat="1" applyFont="1" applyBorder="1" applyAlignment="1">
      <alignment vertical="center"/>
    </xf>
    <xf numFmtId="49" fontId="20" fillId="0" borderId="0" xfId="1" applyNumberFormat="1" applyFont="1" applyAlignment="1">
      <alignment horizontal="center" vertical="center"/>
    </xf>
    <xf numFmtId="3" fontId="20" fillId="0" borderId="0" xfId="1" applyNumberFormat="1" applyFont="1" applyAlignment="1">
      <alignment horizontal="right" vertical="center"/>
    </xf>
    <xf numFmtId="0" fontId="11" fillId="3" borderId="13" xfId="1" applyFont="1" applyFill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49" fontId="11" fillId="3" borderId="4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5" fillId="0" borderId="0" xfId="1" applyFont="1" applyAlignment="1">
      <alignment vertical="center" wrapText="1"/>
    </xf>
    <xf numFmtId="0" fontId="8" fillId="0" borderId="0" xfId="1" applyFont="1" applyAlignment="1">
      <alignment horizontal="right"/>
    </xf>
    <xf numFmtId="3" fontId="7" fillId="6" borderId="27" xfId="1" applyNumberFormat="1" applyFont="1" applyFill="1" applyBorder="1" applyAlignment="1">
      <alignment horizontal="right" vertical="center" wrapText="1"/>
    </xf>
    <xf numFmtId="3" fontId="32" fillId="6" borderId="48" xfId="1" applyNumberFormat="1" applyFont="1" applyFill="1" applyBorder="1" applyAlignment="1">
      <alignment horizontal="left" vertical="center" wrapText="1"/>
    </xf>
    <xf numFmtId="3" fontId="32" fillId="6" borderId="43" xfId="1" applyNumberFormat="1" applyFont="1" applyFill="1" applyBorder="1" applyAlignment="1">
      <alignment horizontal="left" vertical="center" wrapText="1"/>
    </xf>
    <xf numFmtId="3" fontId="7" fillId="6" borderId="52" xfId="1" applyNumberFormat="1" applyFont="1" applyFill="1" applyBorder="1" applyAlignment="1">
      <alignment horizontal="right" vertical="center" wrapText="1"/>
    </xf>
    <xf numFmtId="0" fontId="37" fillId="0" borderId="54" xfId="4" applyFont="1" applyBorder="1" applyAlignment="1">
      <alignment horizontal="center" vertical="center"/>
    </xf>
    <xf numFmtId="0" fontId="32" fillId="0" borderId="35" xfId="4" applyNumberFormat="1" applyFont="1" applyBorder="1" applyAlignment="1">
      <alignment horizontal="center" vertical="center"/>
    </xf>
    <xf numFmtId="3" fontId="32" fillId="6" borderId="35" xfId="4" applyNumberFormat="1" applyFont="1" applyFill="1" applyBorder="1" applyAlignment="1">
      <alignment horizontal="right" vertical="center"/>
    </xf>
    <xf numFmtId="0" fontId="32" fillId="0" borderId="35" xfId="4" applyFont="1" applyBorder="1" applyAlignment="1">
      <alignment horizontal="left" vertical="center" wrapText="1"/>
    </xf>
    <xf numFmtId="0" fontId="32" fillId="6" borderId="43" xfId="4" applyFont="1" applyFill="1" applyBorder="1" applyAlignment="1">
      <alignment vertical="center" wrapText="1"/>
    </xf>
    <xf numFmtId="0" fontId="7" fillId="0" borderId="52" xfId="1" applyNumberFormat="1" applyFont="1" applyBorder="1" applyAlignment="1">
      <alignment horizontal="center" vertical="center"/>
    </xf>
    <xf numFmtId="3" fontId="7" fillId="6" borderId="52" xfId="1" applyNumberFormat="1" applyFont="1" applyFill="1" applyBorder="1" applyAlignment="1">
      <alignment horizontal="right" vertical="center"/>
    </xf>
    <xf numFmtId="0" fontId="11" fillId="3" borderId="24" xfId="1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 vertical="center" wrapText="1"/>
    </xf>
    <xf numFmtId="49" fontId="12" fillId="0" borderId="27" xfId="1" applyNumberFormat="1" applyFont="1" applyFill="1" applyBorder="1" applyAlignment="1">
      <alignment horizontal="center" vertical="center"/>
    </xf>
    <xf numFmtId="0" fontId="7" fillId="0" borderId="27" xfId="1" applyNumberFormat="1" applyFont="1" applyFill="1" applyBorder="1" applyAlignment="1">
      <alignment horizontal="center" vertical="center" wrapText="1"/>
    </xf>
    <xf numFmtId="3" fontId="7" fillId="0" borderId="27" xfId="1" applyNumberFormat="1" applyFont="1" applyFill="1" applyBorder="1" applyAlignment="1">
      <alignment horizontal="right" vertical="center" wrapText="1"/>
    </xf>
    <xf numFmtId="0" fontId="32" fillId="0" borderId="48" xfId="1" applyFont="1" applyFill="1" applyBorder="1" applyAlignment="1">
      <alignment horizontal="left" vertical="center" wrapText="1"/>
    </xf>
    <xf numFmtId="49" fontId="12" fillId="0" borderId="52" xfId="1" applyNumberFormat="1" applyFont="1" applyFill="1" applyBorder="1" applyAlignment="1">
      <alignment horizontal="center" vertical="center"/>
    </xf>
    <xf numFmtId="0" fontId="7" fillId="0" borderId="52" xfId="1" applyNumberFormat="1" applyFont="1" applyFill="1" applyBorder="1" applyAlignment="1">
      <alignment horizontal="center" vertical="center" wrapText="1"/>
    </xf>
    <xf numFmtId="3" fontId="7" fillId="0" borderId="52" xfId="1" applyNumberFormat="1" applyFont="1" applyFill="1" applyBorder="1" applyAlignment="1">
      <alignment horizontal="right" vertical="center" wrapText="1"/>
    </xf>
    <xf numFmtId="0" fontId="32" fillId="0" borderId="53" xfId="1" applyFont="1" applyFill="1" applyBorder="1" applyAlignment="1">
      <alignment horizontal="left" vertical="center" wrapText="1"/>
    </xf>
    <xf numFmtId="0" fontId="36" fillId="0" borderId="31" xfId="1" applyFont="1" applyBorder="1" applyAlignment="1">
      <alignment horizontal="center" vertical="center"/>
    </xf>
    <xf numFmtId="49" fontId="12" fillId="0" borderId="25" xfId="1" applyNumberFormat="1" applyFont="1" applyFill="1" applyBorder="1" applyAlignment="1">
      <alignment horizontal="center" vertical="center"/>
    </xf>
    <xf numFmtId="0" fontId="7" fillId="0" borderId="25" xfId="1" applyNumberFormat="1" applyFont="1" applyFill="1" applyBorder="1" applyAlignment="1">
      <alignment horizontal="center" vertical="center" wrapText="1"/>
    </xf>
    <xf numFmtId="3" fontId="7" fillId="0" borderId="25" xfId="1" applyNumberFormat="1" applyFont="1" applyFill="1" applyBorder="1" applyAlignment="1">
      <alignment horizontal="right" vertical="center" wrapText="1"/>
    </xf>
    <xf numFmtId="3" fontId="7" fillId="6" borderId="25" xfId="1" applyNumberFormat="1" applyFont="1" applyFill="1" applyBorder="1" applyAlignment="1">
      <alignment horizontal="right" vertical="center" wrapText="1"/>
    </xf>
    <xf numFmtId="0" fontId="32" fillId="0" borderId="26" xfId="1" applyFont="1" applyFill="1" applyBorder="1" applyAlignment="1">
      <alignment horizontal="left" vertical="center" wrapText="1"/>
    </xf>
    <xf numFmtId="0" fontId="12" fillId="0" borderId="25" xfId="1" applyFont="1" applyBorder="1" applyAlignment="1">
      <alignment horizontal="center" vertical="center"/>
    </xf>
    <xf numFmtId="0" fontId="7" fillId="0" borderId="25" xfId="1" applyNumberFormat="1" applyFont="1" applyBorder="1" applyAlignment="1">
      <alignment horizontal="center" vertical="center" wrapText="1"/>
    </xf>
    <xf numFmtId="3" fontId="7" fillId="0" borderId="25" xfId="1" applyNumberFormat="1" applyFont="1" applyBorder="1" applyAlignment="1">
      <alignment horizontal="right" vertical="center" wrapText="1"/>
    </xf>
    <xf numFmtId="0" fontId="32" fillId="0" borderId="26" xfId="1" applyFont="1" applyBorder="1" applyAlignment="1">
      <alignment horizontal="left" vertical="center" wrapText="1"/>
    </xf>
    <xf numFmtId="49" fontId="12" fillId="0" borderId="27" xfId="1" applyNumberFormat="1" applyFont="1" applyBorder="1" applyAlignment="1">
      <alignment horizontal="center" vertical="center"/>
    </xf>
    <xf numFmtId="0" fontId="7" fillId="0" borderId="27" xfId="1" applyNumberFormat="1" applyFont="1" applyFill="1" applyBorder="1" applyAlignment="1">
      <alignment horizontal="center" vertical="center"/>
    </xf>
    <xf numFmtId="3" fontId="7" fillId="0" borderId="27" xfId="1" applyNumberFormat="1" applyFont="1" applyFill="1" applyBorder="1" applyAlignment="1">
      <alignment horizontal="right" vertical="center"/>
    </xf>
    <xf numFmtId="3" fontId="7" fillId="6" borderId="27" xfId="1" applyNumberFormat="1" applyFont="1" applyFill="1" applyBorder="1" applyAlignment="1">
      <alignment horizontal="right" vertical="center"/>
    </xf>
    <xf numFmtId="0" fontId="7" fillId="0" borderId="48" xfId="1" applyFont="1" applyBorder="1" applyAlignment="1">
      <alignment horizontal="left" vertical="center" wrapText="1"/>
    </xf>
    <xf numFmtId="49" fontId="12" fillId="0" borderId="52" xfId="1" applyNumberFormat="1" applyFont="1" applyBorder="1" applyAlignment="1">
      <alignment horizontal="center" vertical="center"/>
    </xf>
    <xf numFmtId="0" fontId="7" fillId="0" borderId="52" xfId="1" applyNumberFormat="1" applyFont="1" applyFill="1" applyBorder="1" applyAlignment="1">
      <alignment horizontal="center" vertical="center"/>
    </xf>
    <xf numFmtId="3" fontId="7" fillId="0" borderId="52" xfId="1" applyNumberFormat="1" applyFont="1" applyFill="1" applyBorder="1" applyAlignment="1">
      <alignment horizontal="right" vertical="center"/>
    </xf>
    <xf numFmtId="0" fontId="32" fillId="0" borderId="53" xfId="1" applyFont="1" applyBorder="1" applyAlignment="1">
      <alignment vertical="center" wrapText="1"/>
    </xf>
    <xf numFmtId="0" fontId="32" fillId="0" borderId="48" xfId="1" applyFont="1" applyBorder="1" applyAlignment="1">
      <alignment vertical="center" wrapText="1"/>
    </xf>
    <xf numFmtId="49" fontId="12" fillId="0" borderId="25" xfId="1" applyNumberFormat="1" applyFont="1" applyBorder="1" applyAlignment="1">
      <alignment horizontal="center" vertical="center"/>
    </xf>
    <xf numFmtId="0" fontId="7" fillId="0" borderId="25" xfId="1" applyNumberFormat="1" applyFont="1" applyFill="1" applyBorder="1" applyAlignment="1">
      <alignment horizontal="center" vertical="center"/>
    </xf>
    <xf numFmtId="3" fontId="7" fillId="0" borderId="25" xfId="1" applyNumberFormat="1" applyFont="1" applyFill="1" applyBorder="1" applyAlignment="1">
      <alignment horizontal="right" vertical="center"/>
    </xf>
    <xf numFmtId="3" fontId="7" fillId="6" borderId="25" xfId="1" applyNumberFormat="1" applyFont="1" applyFill="1" applyBorder="1" applyAlignment="1">
      <alignment horizontal="right" vertical="center"/>
    </xf>
    <xf numFmtId="0" fontId="32" fillId="0" borderId="26" xfId="1" applyFont="1" applyBorder="1" applyAlignment="1">
      <alignment vertical="center" wrapText="1"/>
    </xf>
    <xf numFmtId="0" fontId="7" fillId="0" borderId="26" xfId="1" applyFont="1" applyBorder="1" applyAlignment="1">
      <alignment vertical="center" wrapText="1"/>
    </xf>
    <xf numFmtId="0" fontId="7" fillId="0" borderId="27" xfId="1" applyNumberFormat="1" applyFont="1" applyBorder="1" applyAlignment="1">
      <alignment horizontal="center" vertical="center"/>
    </xf>
    <xf numFmtId="0" fontId="38" fillId="0" borderId="0" xfId="1" applyFont="1"/>
    <xf numFmtId="0" fontId="5" fillId="0" borderId="0" xfId="1" applyAlignment="1">
      <alignment vertical="center"/>
    </xf>
    <xf numFmtId="49" fontId="20" fillId="0" borderId="0" xfId="1" applyNumberFormat="1" applyFont="1" applyAlignment="1">
      <alignment horizontal="center"/>
    </xf>
    <xf numFmtId="3" fontId="20" fillId="0" borderId="0" xfId="1" applyNumberFormat="1" applyFont="1" applyAlignment="1">
      <alignment horizontal="right"/>
    </xf>
    <xf numFmtId="0" fontId="20" fillId="0" borderId="0" xfId="1" applyFont="1"/>
    <xf numFmtId="0" fontId="20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21" fillId="6" borderId="0" xfId="0" applyFont="1" applyFill="1" applyBorder="1" applyAlignment="1">
      <alignment horizontal="left" vertical="center" wrapText="1"/>
    </xf>
    <xf numFmtId="3" fontId="21" fillId="0" borderId="35" xfId="1" applyNumberFormat="1" applyFont="1" applyBorder="1" applyAlignment="1">
      <alignment horizontal="center" vertical="center" wrapText="1"/>
    </xf>
    <xf numFmtId="3" fontId="11" fillId="5" borderId="27" xfId="1" applyNumberFormat="1" applyFont="1" applyFill="1" applyBorder="1" applyAlignment="1">
      <alignment horizontal="right" vertical="center"/>
    </xf>
    <xf numFmtId="3" fontId="9" fillId="5" borderId="27" xfId="1" applyNumberFormat="1" applyFont="1" applyFill="1" applyBorder="1" applyAlignment="1">
      <alignment horizontal="right" vertical="center"/>
    </xf>
    <xf numFmtId="0" fontId="7" fillId="5" borderId="48" xfId="1" applyFont="1" applyFill="1" applyBorder="1"/>
    <xf numFmtId="0" fontId="21" fillId="0" borderId="43" xfId="1" applyFont="1" applyBorder="1" applyAlignment="1">
      <alignment horizontal="left" vertical="center" wrapText="1"/>
    </xf>
    <xf numFmtId="0" fontId="21" fillId="0" borderId="52" xfId="1" applyNumberFormat="1" applyFont="1" applyBorder="1" applyAlignment="1">
      <alignment horizontal="center" vertical="center"/>
    </xf>
    <xf numFmtId="3" fontId="21" fillId="0" borderId="52" xfId="1" applyNumberFormat="1" applyFont="1" applyBorder="1" applyAlignment="1">
      <alignment horizontal="center" vertical="center" wrapText="1"/>
    </xf>
    <xf numFmtId="0" fontId="21" fillId="0" borderId="53" xfId="1" applyFont="1" applyBorder="1" applyAlignment="1">
      <alignment horizontal="left" vertical="center" wrapText="1"/>
    </xf>
    <xf numFmtId="0" fontId="21" fillId="0" borderId="36" xfId="1" applyNumberFormat="1" applyFont="1" applyBorder="1" applyAlignment="1">
      <alignment horizontal="center" vertical="center"/>
    </xf>
    <xf numFmtId="3" fontId="21" fillId="0" borderId="36" xfId="1" applyNumberFormat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left" vertical="center" wrapText="1"/>
    </xf>
    <xf numFmtId="0" fontId="21" fillId="4" borderId="27" xfId="1" applyNumberFormat="1" applyFont="1" applyFill="1" applyBorder="1" applyAlignment="1">
      <alignment horizontal="center" vertical="center"/>
    </xf>
    <xf numFmtId="3" fontId="11" fillId="4" borderId="27" xfId="1" applyNumberFormat="1" applyFont="1" applyFill="1" applyBorder="1" applyAlignment="1">
      <alignment horizontal="right" vertical="center"/>
    </xf>
    <xf numFmtId="3" fontId="21" fillId="4" borderId="27" xfId="1" applyNumberFormat="1" applyFont="1" applyFill="1" applyBorder="1" applyAlignment="1">
      <alignment horizontal="center" vertical="center" wrapText="1"/>
    </xf>
    <xf numFmtId="0" fontId="21" fillId="4" borderId="48" xfId="1" applyFont="1" applyFill="1" applyBorder="1" applyAlignment="1">
      <alignment horizontal="left" vertical="center" wrapText="1"/>
    </xf>
    <xf numFmtId="0" fontId="32" fillId="6" borderId="27" xfId="1" applyNumberFormat="1" applyFont="1" applyFill="1" applyBorder="1" applyAlignment="1">
      <alignment horizontal="center" vertical="center"/>
    </xf>
    <xf numFmtId="3" fontId="32" fillId="6" borderId="27" xfId="1" applyNumberFormat="1" applyFont="1" applyFill="1" applyBorder="1" applyAlignment="1">
      <alignment horizontal="right" vertical="center" wrapText="1"/>
    </xf>
    <xf numFmtId="0" fontId="32" fillId="6" borderId="35" xfId="1" applyNumberFormat="1" applyFont="1" applyFill="1" applyBorder="1" applyAlignment="1">
      <alignment horizontal="center" vertical="center"/>
    </xf>
    <xf numFmtId="3" fontId="32" fillId="6" borderId="35" xfId="1" applyNumberFormat="1" applyFont="1" applyFill="1" applyBorder="1" applyAlignment="1">
      <alignment horizontal="right" vertical="center" wrapText="1"/>
    </xf>
    <xf numFmtId="0" fontId="32" fillId="6" borderId="35" xfId="1" applyFont="1" applyFill="1" applyBorder="1" applyAlignment="1">
      <alignment horizontal="left" vertical="center" wrapText="1"/>
    </xf>
    <xf numFmtId="0" fontId="32" fillId="6" borderId="35" xfId="1" applyFont="1" applyFill="1" applyBorder="1" applyAlignment="1">
      <alignment vertical="center" wrapText="1"/>
    </xf>
    <xf numFmtId="3" fontId="1" fillId="6" borderId="35" xfId="0" applyNumberFormat="1" applyFont="1" applyFill="1" applyBorder="1" applyAlignment="1">
      <alignment vertical="center"/>
    </xf>
    <xf numFmtId="0" fontId="32" fillId="0" borderId="35" xfId="4" applyFont="1" applyBorder="1" applyAlignment="1">
      <alignment vertical="center" wrapText="1"/>
    </xf>
    <xf numFmtId="0" fontId="32" fillId="0" borderId="35" xfId="1" applyNumberFormat="1" applyFont="1" applyBorder="1" applyAlignment="1">
      <alignment horizontal="center" vertical="center"/>
    </xf>
    <xf numFmtId="3" fontId="32" fillId="6" borderId="35" xfId="1" applyNumberFormat="1" applyFont="1" applyFill="1" applyBorder="1" applyAlignment="1">
      <alignment horizontal="right" vertical="center"/>
    </xf>
    <xf numFmtId="0" fontId="32" fillId="6" borderId="43" xfId="1" applyFont="1" applyFill="1" applyBorder="1" applyAlignment="1">
      <alignment horizontal="left" vertical="center" wrapText="1"/>
    </xf>
    <xf numFmtId="0" fontId="37" fillId="0" borderId="54" xfId="1" applyFont="1" applyFill="1" applyBorder="1" applyAlignment="1">
      <alignment horizontal="center" vertical="center"/>
    </xf>
    <xf numFmtId="0" fontId="32" fillId="0" borderId="43" xfId="1" applyFont="1" applyBorder="1" applyAlignment="1">
      <alignment horizontal="left" vertical="center" wrapText="1"/>
    </xf>
    <xf numFmtId="0" fontId="32" fillId="0" borderId="52" xfId="1" applyNumberFormat="1" applyFont="1" applyBorder="1" applyAlignment="1">
      <alignment horizontal="center" vertical="center"/>
    </xf>
    <xf numFmtId="3" fontId="32" fillId="6" borderId="52" xfId="1" applyNumberFormat="1" applyFont="1" applyFill="1" applyBorder="1" applyAlignment="1">
      <alignment horizontal="right" vertical="center"/>
    </xf>
    <xf numFmtId="0" fontId="35" fillId="0" borderId="53" xfId="1" applyFont="1" applyBorder="1" applyAlignment="1">
      <alignment vertical="center" wrapText="1"/>
    </xf>
    <xf numFmtId="3" fontId="34" fillId="3" borderId="4" xfId="1" applyNumberFormat="1" applyFont="1" applyFill="1" applyBorder="1" applyAlignment="1">
      <alignment horizontal="right" vertical="center"/>
    </xf>
    <xf numFmtId="0" fontId="39" fillId="3" borderId="4" xfId="1" applyNumberFormat="1" applyFont="1" applyFill="1" applyBorder="1" applyAlignment="1">
      <alignment horizontal="center" vertical="center"/>
    </xf>
    <xf numFmtId="3" fontId="34" fillId="3" borderId="24" xfId="1" applyNumberFormat="1" applyFont="1" applyFill="1" applyBorder="1" applyAlignment="1">
      <alignment horizontal="right" vertical="center"/>
    </xf>
    <xf numFmtId="3" fontId="34" fillId="3" borderId="30" xfId="1" applyNumberFormat="1" applyFont="1" applyFill="1" applyBorder="1" applyAlignment="1">
      <alignment horizontal="right" vertical="center"/>
    </xf>
    <xf numFmtId="0" fontId="39" fillId="3" borderId="4" xfId="1" applyFont="1" applyFill="1" applyBorder="1"/>
    <xf numFmtId="0" fontId="21" fillId="6" borderId="37" xfId="0" applyFont="1" applyFill="1" applyBorder="1" applyAlignment="1">
      <alignment horizontal="left" vertical="center" wrapText="1"/>
    </xf>
    <xf numFmtId="3" fontId="32" fillId="6" borderId="35" xfId="4" applyNumberFormat="1" applyFont="1" applyFill="1" applyBorder="1" applyAlignment="1">
      <alignment vertical="center"/>
    </xf>
    <xf numFmtId="0" fontId="35" fillId="0" borderId="35" xfId="1" applyFont="1" applyBorder="1" applyAlignment="1">
      <alignment horizontal="left" vertical="center" wrapText="1"/>
    </xf>
    <xf numFmtId="3" fontId="17" fillId="4" borderId="4" xfId="1" applyNumberFormat="1" applyFont="1" applyFill="1" applyBorder="1" applyAlignment="1">
      <alignment horizontal="right" vertical="center"/>
    </xf>
    <xf numFmtId="0" fontId="23" fillId="4" borderId="4" xfId="1" applyFont="1" applyFill="1" applyBorder="1" applyAlignment="1">
      <alignment horizontal="center" vertical="center" wrapText="1"/>
    </xf>
    <xf numFmtId="3" fontId="21" fillId="0" borderId="35" xfId="1" applyNumberFormat="1" applyFont="1" applyBorder="1" applyAlignment="1">
      <alignment horizontal="right" vertical="center"/>
    </xf>
    <xf numFmtId="49" fontId="21" fillId="0" borderId="36" xfId="1" applyNumberFormat="1" applyFont="1" applyBorder="1" applyAlignment="1">
      <alignment horizontal="center" vertical="center"/>
    </xf>
    <xf numFmtId="49" fontId="21" fillId="0" borderId="36" xfId="1" applyNumberFormat="1" applyFont="1" applyBorder="1" applyAlignment="1">
      <alignment horizontal="center" vertical="center" wrapText="1"/>
    </xf>
    <xf numFmtId="3" fontId="21" fillId="0" borderId="36" xfId="1" applyNumberFormat="1" applyFont="1" applyBorder="1" applyAlignment="1">
      <alignment horizontal="right" vertical="center"/>
    </xf>
    <xf numFmtId="49" fontId="21" fillId="0" borderId="52" xfId="1" applyNumberFormat="1" applyFont="1" applyBorder="1" applyAlignment="1">
      <alignment horizontal="center" vertical="center"/>
    </xf>
    <xf numFmtId="49" fontId="21" fillId="0" borderId="52" xfId="1" applyNumberFormat="1" applyFont="1" applyBorder="1" applyAlignment="1">
      <alignment horizontal="center" vertical="center" wrapText="1"/>
    </xf>
    <xf numFmtId="3" fontId="21" fillId="0" borderId="52" xfId="1" applyNumberFormat="1" applyFont="1" applyBorder="1" applyAlignment="1">
      <alignment horizontal="right" vertical="center"/>
    </xf>
    <xf numFmtId="49" fontId="40" fillId="0" borderId="52" xfId="10" applyNumberFormat="1" applyFont="1" applyFill="1" applyBorder="1" applyAlignment="1" applyProtection="1">
      <alignment horizontal="center" vertical="center" wrapText="1"/>
      <protection locked="0"/>
    </xf>
    <xf numFmtId="3" fontId="22" fillId="4" borderId="27" xfId="1" applyNumberFormat="1" applyFont="1" applyFill="1" applyBorder="1" applyAlignment="1">
      <alignment horizontal="right" vertical="center"/>
    </xf>
    <xf numFmtId="0" fontId="21" fillId="4" borderId="48" xfId="1" applyFont="1" applyFill="1" applyBorder="1"/>
    <xf numFmtId="3" fontId="11" fillId="0" borderId="52" xfId="1" applyNumberFormat="1" applyFont="1" applyBorder="1" applyAlignment="1">
      <alignment horizontal="right" vertical="center"/>
    </xf>
    <xf numFmtId="3" fontId="21" fillId="0" borderId="35" xfId="1" applyNumberFormat="1" applyFont="1" applyBorder="1" applyAlignment="1">
      <alignment horizontal="right" vertical="center"/>
    </xf>
    <xf numFmtId="0" fontId="21" fillId="0" borderId="52" xfId="1" applyFont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7" fillId="6" borderId="54" xfId="1" applyFont="1" applyFill="1" applyBorder="1" applyAlignment="1">
      <alignment horizontal="center" vertical="center"/>
    </xf>
    <xf numFmtId="49" fontId="37" fillId="6" borderId="35" xfId="1" applyNumberFormat="1" applyFont="1" applyFill="1" applyBorder="1" applyAlignment="1">
      <alignment horizontal="center" vertical="center"/>
    </xf>
    <xf numFmtId="3" fontId="37" fillId="6" borderId="35" xfId="1" applyNumberFormat="1" applyFont="1" applyFill="1" applyBorder="1" applyAlignment="1">
      <alignment horizontal="right" vertical="center"/>
    </xf>
    <xf numFmtId="0" fontId="37" fillId="0" borderId="35" xfId="4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 wrapText="1"/>
    </xf>
    <xf numFmtId="3" fontId="37" fillId="0" borderId="35" xfId="4" applyNumberFormat="1" applyFont="1" applyBorder="1" applyAlignment="1">
      <alignment horizontal="right" vertical="center"/>
    </xf>
    <xf numFmtId="3" fontId="37" fillId="0" borderId="35" xfId="1" applyNumberFormat="1" applyFont="1" applyBorder="1" applyAlignment="1">
      <alignment horizontal="right" vertical="center"/>
    </xf>
    <xf numFmtId="0" fontId="11" fillId="2" borderId="4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3" fontId="7" fillId="0" borderId="49" xfId="4" applyNumberFormat="1" applyFont="1" applyBorder="1" applyAlignment="1">
      <alignment vertical="center"/>
    </xf>
    <xf numFmtId="0" fontId="12" fillId="0" borderId="34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3" fontId="7" fillId="0" borderId="49" xfId="1" applyNumberFormat="1" applyFont="1" applyFill="1" applyBorder="1" applyAlignment="1">
      <alignment vertical="center"/>
    </xf>
    <xf numFmtId="0" fontId="5" fillId="0" borderId="0" xfId="1" applyBorder="1" applyAlignment="1">
      <alignment wrapText="1"/>
    </xf>
    <xf numFmtId="3" fontId="5" fillId="0" borderId="5" xfId="1" applyNumberFormat="1" applyBorder="1" applyAlignment="1">
      <alignment vertical="center"/>
    </xf>
    <xf numFmtId="0" fontId="21" fillId="0" borderId="6" xfId="1" applyFont="1" applyBorder="1"/>
    <xf numFmtId="0" fontId="21" fillId="0" borderId="0" xfId="1" applyFont="1" applyBorder="1"/>
    <xf numFmtId="0" fontId="21" fillId="0" borderId="5" xfId="1" applyFont="1" applyBorder="1"/>
    <xf numFmtId="3" fontId="7" fillId="0" borderId="34" xfId="1" applyNumberFormat="1" applyFont="1" applyFill="1" applyBorder="1" applyAlignment="1">
      <alignment vertical="center"/>
    </xf>
    <xf numFmtId="0" fontId="12" fillId="0" borderId="40" xfId="1" applyFont="1" applyFill="1" applyBorder="1" applyAlignment="1">
      <alignment horizontal="center" vertical="center"/>
    </xf>
    <xf numFmtId="3" fontId="7" fillId="0" borderId="40" xfId="1" applyNumberFormat="1" applyFont="1" applyFill="1" applyBorder="1" applyAlignme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8" xfId="1" applyFont="1" applyBorder="1" applyAlignment="1">
      <alignment horizontal="center" vertical="center"/>
    </xf>
    <xf numFmtId="3" fontId="7" fillId="0" borderId="8" xfId="4" applyNumberFormat="1" applyFont="1" applyFill="1" applyBorder="1" applyAlignment="1">
      <alignment vertical="center"/>
    </xf>
    <xf numFmtId="3" fontId="7" fillId="0" borderId="14" xfId="4" applyNumberFormat="1" applyFont="1" applyFill="1" applyBorder="1" applyAlignment="1">
      <alignment vertical="center"/>
    </xf>
    <xf numFmtId="0" fontId="37" fillId="0" borderId="35" xfId="4" applyFont="1" applyBorder="1" applyAlignment="1">
      <alignment vertical="center"/>
    </xf>
    <xf numFmtId="3" fontId="37" fillId="0" borderId="35" xfId="4" applyNumberFormat="1" applyFont="1" applyBorder="1" applyAlignment="1">
      <alignment vertical="center"/>
    </xf>
    <xf numFmtId="0" fontId="37" fillId="0" borderId="55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9" fillId="0" borderId="0" xfId="1" applyFont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horizontal="right" vertical="center" wrapText="1"/>
    </xf>
    <xf numFmtId="0" fontId="20" fillId="0" borderId="0" xfId="1" applyFont="1" applyAlignment="1">
      <alignment vertical="center"/>
    </xf>
    <xf numFmtId="3" fontId="20" fillId="0" borderId="0" xfId="1" applyNumberFormat="1" applyFont="1" applyAlignment="1">
      <alignment vertical="center"/>
    </xf>
    <xf numFmtId="0" fontId="20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3" fontId="20" fillId="0" borderId="0" xfId="1" applyNumberFormat="1" applyFont="1" applyAlignment="1">
      <alignment horizontal="center" vertical="center"/>
    </xf>
    <xf numFmtId="0" fontId="12" fillId="4" borderId="31" xfId="1" applyFont="1" applyFill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43" fillId="7" borderId="52" xfId="1" applyFont="1" applyFill="1" applyBorder="1" applyAlignment="1">
      <alignment horizontal="center" vertical="center"/>
    </xf>
    <xf numFmtId="3" fontId="7" fillId="0" borderId="53" xfId="1" applyNumberFormat="1" applyFont="1" applyBorder="1" applyAlignment="1">
      <alignment horizontal="right" vertical="center"/>
    </xf>
    <xf numFmtId="49" fontId="20" fillId="0" borderId="0" xfId="1" applyNumberFormat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17" fillId="0" borderId="0" xfId="1" applyFont="1" applyBorder="1" applyAlignment="1">
      <alignment horizontal="center" vertical="center" wrapText="1"/>
    </xf>
    <xf numFmtId="0" fontId="12" fillId="4" borderId="35" xfId="1" applyFont="1" applyFill="1" applyBorder="1" applyAlignment="1">
      <alignment horizontal="center" vertical="center"/>
    </xf>
    <xf numFmtId="4" fontId="20" fillId="0" borderId="0" xfId="1" applyNumberFormat="1" applyFont="1" applyAlignment="1">
      <alignment horizontal="center" vertical="center"/>
    </xf>
    <xf numFmtId="3" fontId="20" fillId="9" borderId="0" xfId="1" applyNumberFormat="1" applyFont="1" applyFill="1" applyAlignment="1">
      <alignment horizontal="center" vertical="center"/>
    </xf>
    <xf numFmtId="0" fontId="20" fillId="9" borderId="0" xfId="1" applyFont="1" applyFill="1" applyAlignment="1">
      <alignment horizontal="center" vertical="center"/>
    </xf>
    <xf numFmtId="49" fontId="45" fillId="7" borderId="27" xfId="1" applyNumberFormat="1" applyFont="1" applyFill="1" applyBorder="1" applyAlignment="1">
      <alignment horizontal="center" vertical="center"/>
    </xf>
    <xf numFmtId="3" fontId="12" fillId="7" borderId="27" xfId="1" applyNumberFormat="1" applyFont="1" applyFill="1" applyBorder="1" applyAlignment="1">
      <alignment horizontal="right" vertical="center"/>
    </xf>
    <xf numFmtId="49" fontId="20" fillId="0" borderId="0" xfId="1" applyNumberFormat="1" applyFont="1" applyAlignment="1">
      <alignment horizontal="center" vertical="top"/>
    </xf>
    <xf numFmtId="49" fontId="46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top"/>
    </xf>
    <xf numFmtId="0" fontId="46" fillId="0" borderId="0" xfId="1" applyFont="1" applyAlignment="1">
      <alignment horizontal="center" vertical="center"/>
    </xf>
    <xf numFmtId="0" fontId="44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top"/>
    </xf>
    <xf numFmtId="0" fontId="16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3" borderId="39" xfId="1" applyFont="1" applyFill="1" applyBorder="1" applyAlignment="1">
      <alignment horizontal="center" vertical="center" wrapText="1"/>
    </xf>
    <xf numFmtId="0" fontId="9" fillId="3" borderId="45" xfId="1" applyFont="1" applyFill="1" applyBorder="1" applyAlignment="1">
      <alignment horizontal="center" vertical="center" wrapText="1"/>
    </xf>
    <xf numFmtId="3" fontId="9" fillId="4" borderId="4" xfId="1" applyNumberFormat="1" applyFont="1" applyFill="1" applyBorder="1" applyAlignment="1">
      <alignment horizontal="right" vertical="center"/>
    </xf>
    <xf numFmtId="3" fontId="9" fillId="4" borderId="24" xfId="1" applyNumberFormat="1" applyFont="1" applyFill="1" applyBorder="1" applyAlignment="1">
      <alignment horizontal="right" vertical="center"/>
    </xf>
    <xf numFmtId="3" fontId="9" fillId="4" borderId="26" xfId="1" applyNumberFormat="1" applyFont="1" applyFill="1" applyBorder="1" applyAlignment="1">
      <alignment horizontal="right" vertical="center"/>
    </xf>
    <xf numFmtId="3" fontId="8" fillId="0" borderId="18" xfId="1" applyNumberFormat="1" applyFont="1" applyBorder="1" applyAlignment="1">
      <alignment horizontal="right" vertical="center"/>
    </xf>
    <xf numFmtId="3" fontId="8" fillId="0" borderId="66" xfId="1" applyNumberFormat="1" applyFont="1" applyBorder="1" applyAlignment="1">
      <alignment horizontal="right" vertical="center"/>
    </xf>
    <xf numFmtId="3" fontId="8" fillId="0" borderId="49" xfId="1" applyNumberFormat="1" applyFont="1" applyBorder="1" applyAlignment="1">
      <alignment horizontal="right" vertical="center"/>
    </xf>
    <xf numFmtId="0" fontId="7" fillId="0" borderId="37" xfId="1" applyFont="1" applyBorder="1" applyAlignment="1">
      <alignment horizontal="center" vertical="center"/>
    </xf>
    <xf numFmtId="49" fontId="8" fillId="7" borderId="38" xfId="1" applyNumberFormat="1" applyFont="1" applyFill="1" applyBorder="1" applyAlignment="1">
      <alignment horizontal="center" vertical="center" wrapText="1"/>
    </xf>
    <xf numFmtId="3" fontId="7" fillId="0" borderId="40" xfId="1" applyNumberFormat="1" applyFont="1" applyBorder="1" applyAlignment="1">
      <alignment horizontal="right" vertical="center"/>
    </xf>
    <xf numFmtId="3" fontId="7" fillId="0" borderId="39" xfId="1" applyNumberFormat="1" applyFont="1" applyBorder="1" applyAlignment="1">
      <alignment horizontal="right" vertical="center"/>
    </xf>
    <xf numFmtId="3" fontId="43" fillId="0" borderId="45" xfId="1" applyNumberFormat="1" applyFont="1" applyBorder="1" applyAlignment="1">
      <alignment vertical="center"/>
    </xf>
    <xf numFmtId="0" fontId="7" fillId="0" borderId="68" xfId="1" applyFont="1" applyBorder="1" applyAlignment="1">
      <alignment horizontal="center" vertical="center"/>
    </xf>
    <xf numFmtId="49" fontId="8" fillId="7" borderId="53" xfId="1" applyNumberFormat="1" applyFont="1" applyFill="1" applyBorder="1" applyAlignment="1">
      <alignment horizontal="center" vertical="center" wrapText="1"/>
    </xf>
    <xf numFmtId="3" fontId="43" fillId="0" borderId="68" xfId="1" applyNumberFormat="1" applyFont="1" applyBorder="1" applyAlignment="1">
      <alignment horizontal="right" vertical="center"/>
    </xf>
    <xf numFmtId="3" fontId="7" fillId="0" borderId="53" xfId="1" applyNumberFormat="1" applyFont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49" fontId="8" fillId="7" borderId="69" xfId="1" applyNumberFormat="1" applyFont="1" applyFill="1" applyBorder="1" applyAlignment="1">
      <alignment horizontal="center" vertical="center" wrapText="1"/>
    </xf>
    <xf numFmtId="3" fontId="12" fillId="3" borderId="4" xfId="1" applyNumberFormat="1" applyFont="1" applyFill="1" applyBorder="1" applyAlignment="1">
      <alignment horizontal="right" vertical="center"/>
    </xf>
    <xf numFmtId="3" fontId="12" fillId="3" borderId="24" xfId="1" applyNumberFormat="1" applyFont="1" applyFill="1" applyBorder="1" applyAlignment="1">
      <alignment horizontal="right" vertical="center"/>
    </xf>
    <xf numFmtId="3" fontId="12" fillId="3" borderId="26" xfId="1" applyNumberFormat="1" applyFont="1" applyFill="1" applyBorder="1" applyAlignment="1">
      <alignment horizontal="right" vertical="center"/>
    </xf>
    <xf numFmtId="49" fontId="24" fillId="0" borderId="0" xfId="1" applyNumberFormat="1" applyFont="1" applyBorder="1" applyAlignment="1">
      <alignment horizontal="center" vertical="top"/>
    </xf>
    <xf numFmtId="49" fontId="46" fillId="0" borderId="0" xfId="1" applyNumberFormat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3" fontId="29" fillId="0" borderId="0" xfId="1" applyNumberFormat="1" applyFont="1" applyBorder="1" applyAlignment="1">
      <alignment horizontal="right" vertical="center"/>
    </xf>
    <xf numFmtId="3" fontId="20" fillId="0" borderId="0" xfId="1" applyNumberFormat="1" applyFont="1" applyBorder="1" applyAlignment="1">
      <alignment horizontal="center" vertical="center"/>
    </xf>
    <xf numFmtId="49" fontId="24" fillId="0" borderId="0" xfId="1" applyNumberFormat="1" applyFont="1" applyAlignment="1">
      <alignment horizontal="center" vertical="top"/>
    </xf>
    <xf numFmtId="0" fontId="47" fillId="0" borderId="0" xfId="1" applyFont="1" applyAlignment="1">
      <alignment vertical="center" wrapText="1"/>
    </xf>
    <xf numFmtId="0" fontId="48" fillId="0" borderId="0" xfId="1" applyFont="1"/>
    <xf numFmtId="0" fontId="48" fillId="0" borderId="0" xfId="1" applyFont="1" applyAlignment="1">
      <alignment horizontal="center"/>
    </xf>
    <xf numFmtId="0" fontId="49" fillId="0" borderId="0" xfId="1" applyFont="1" applyBorder="1" applyAlignment="1">
      <alignment horizontal="center" vertical="center" wrapText="1"/>
    </xf>
    <xf numFmtId="0" fontId="53" fillId="10" borderId="35" xfId="1" applyFont="1" applyFill="1" applyBorder="1" applyAlignment="1">
      <alignment horizontal="center" vertical="center" wrapText="1"/>
    </xf>
    <xf numFmtId="0" fontId="53" fillId="10" borderId="43" xfId="1" applyFont="1" applyFill="1" applyBorder="1" applyAlignment="1">
      <alignment horizontal="center" vertical="center" wrapText="1"/>
    </xf>
    <xf numFmtId="49" fontId="54" fillId="10" borderId="55" xfId="1" applyNumberFormat="1" applyFont="1" applyFill="1" applyBorder="1" applyAlignment="1">
      <alignment horizontal="center" vertical="center"/>
    </xf>
    <xf numFmtId="49" fontId="54" fillId="10" borderId="52" xfId="1" applyNumberFormat="1" applyFont="1" applyFill="1" applyBorder="1" applyAlignment="1">
      <alignment horizontal="center" vertical="center"/>
    </xf>
    <xf numFmtId="0" fontId="16" fillId="10" borderId="52" xfId="1" applyFont="1" applyFill="1" applyBorder="1" applyAlignment="1">
      <alignment horizontal="center" vertical="center"/>
    </xf>
    <xf numFmtId="0" fontId="16" fillId="10" borderId="53" xfId="1" applyFont="1" applyFill="1" applyBorder="1" applyAlignment="1">
      <alignment horizontal="center" vertical="center"/>
    </xf>
    <xf numFmtId="0" fontId="5" fillId="0" borderId="0" xfId="1" applyFill="1"/>
    <xf numFmtId="49" fontId="9" fillId="11" borderId="31" xfId="1" applyNumberFormat="1" applyFont="1" applyFill="1" applyBorder="1" applyAlignment="1">
      <alignment horizontal="center" vertical="center"/>
    </xf>
    <xf numFmtId="3" fontId="12" fillId="11" borderId="25" xfId="1" applyNumberFormat="1" applyFont="1" applyFill="1" applyBorder="1" applyAlignment="1">
      <alignment vertical="center"/>
    </xf>
    <xf numFmtId="3" fontId="5" fillId="0" borderId="0" xfId="1" applyNumberFormat="1" applyFont="1" applyFill="1"/>
    <xf numFmtId="0" fontId="5" fillId="0" borderId="0" xfId="1" applyFont="1" applyFill="1"/>
    <xf numFmtId="49" fontId="51" fillId="12" borderId="35" xfId="1" applyNumberFormat="1" applyFont="1" applyFill="1" applyBorder="1" applyAlignment="1">
      <alignment horizontal="center" vertical="center" wrapText="1"/>
    </xf>
    <xf numFmtId="3" fontId="55" fillId="12" borderId="35" xfId="1" applyNumberFormat="1" applyFont="1" applyFill="1" applyBorder="1" applyAlignment="1">
      <alignment vertical="center"/>
    </xf>
    <xf numFmtId="3" fontId="55" fillId="12" borderId="43" xfId="1" applyNumberFormat="1" applyFont="1" applyFill="1" applyBorder="1" applyAlignment="1">
      <alignment vertical="center"/>
    </xf>
    <xf numFmtId="0" fontId="50" fillId="0" borderId="0" xfId="1" applyFont="1" applyFill="1"/>
    <xf numFmtId="0" fontId="50" fillId="0" borderId="0" xfId="1" applyFont="1"/>
    <xf numFmtId="49" fontId="56" fillId="13" borderId="35" xfId="1" applyNumberFormat="1" applyFont="1" applyFill="1" applyBorder="1" applyAlignment="1">
      <alignment horizontal="center" vertical="center" wrapText="1"/>
    </xf>
    <xf numFmtId="3" fontId="57" fillId="13" borderId="35" xfId="1" applyNumberFormat="1" applyFont="1" applyFill="1" applyBorder="1" applyAlignment="1">
      <alignment vertical="center"/>
    </xf>
    <xf numFmtId="3" fontId="57" fillId="13" borderId="43" xfId="1" applyNumberFormat="1" applyFont="1" applyFill="1" applyBorder="1" applyAlignment="1">
      <alignment vertical="center"/>
    </xf>
    <xf numFmtId="49" fontId="13" fillId="0" borderId="35" xfId="1" applyNumberFormat="1" applyFont="1" applyFill="1" applyBorder="1" applyAlignment="1">
      <alignment horizontal="center" vertical="center"/>
    </xf>
    <xf numFmtId="3" fontId="13" fillId="0" borderId="35" xfId="1" applyNumberFormat="1" applyFont="1" applyFill="1" applyBorder="1" applyAlignment="1">
      <alignment vertical="center"/>
    </xf>
    <xf numFmtId="3" fontId="13" fillId="0" borderId="43" xfId="1" applyNumberFormat="1" applyFont="1" applyFill="1" applyBorder="1" applyAlignment="1">
      <alignment vertical="center"/>
    </xf>
    <xf numFmtId="49" fontId="56" fillId="13" borderId="35" xfId="1" applyNumberFormat="1" applyFont="1" applyFill="1" applyBorder="1" applyAlignment="1">
      <alignment horizontal="center" vertical="center"/>
    </xf>
    <xf numFmtId="0" fontId="13" fillId="0" borderId="35" xfId="1" applyFont="1" applyFill="1" applyBorder="1" applyAlignment="1">
      <alignment horizontal="center" vertical="center"/>
    </xf>
    <xf numFmtId="49" fontId="13" fillId="0" borderId="36" xfId="1" applyNumberFormat="1" applyFont="1" applyFill="1" applyBorder="1" applyAlignment="1">
      <alignment horizontal="center" vertical="center"/>
    </xf>
    <xf numFmtId="49" fontId="13" fillId="0" borderId="54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left" vertical="center" wrapText="1"/>
    </xf>
    <xf numFmtId="3" fontId="12" fillId="10" borderId="25" xfId="1" applyNumberFormat="1" applyFont="1" applyFill="1" applyBorder="1" applyAlignment="1">
      <alignment vertical="center"/>
    </xf>
    <xf numFmtId="0" fontId="45" fillId="0" borderId="0" xfId="1" applyFont="1" applyBorder="1" applyAlignment="1">
      <alignment horizontal="right" vertical="center"/>
    </xf>
    <xf numFmtId="3" fontId="48" fillId="0" borderId="0" xfId="1" applyNumberFormat="1" applyFont="1"/>
    <xf numFmtId="0" fontId="5" fillId="0" borderId="0" xfId="1" applyFont="1" applyAlignment="1">
      <alignment horizontal="center"/>
    </xf>
    <xf numFmtId="0" fontId="9" fillId="0" borderId="0" xfId="1" applyFont="1" applyBorder="1" applyAlignment="1">
      <alignment horizontal="right" vertical="center"/>
    </xf>
    <xf numFmtId="3" fontId="5" fillId="0" borderId="0" xfId="1" applyNumberFormat="1" applyFont="1"/>
    <xf numFmtId="0" fontId="8" fillId="0" borderId="0" xfId="1" applyFont="1" applyBorder="1" applyAlignment="1">
      <alignment horizontal="right" vertical="center"/>
    </xf>
    <xf numFmtId="0" fontId="5" fillId="0" borderId="0" xfId="1" applyFont="1" applyAlignment="1">
      <alignment horizontal="right"/>
    </xf>
    <xf numFmtId="0" fontId="58" fillId="0" borderId="0" xfId="1" applyFont="1" applyAlignment="1">
      <alignment horizontal="right"/>
    </xf>
    <xf numFmtId="0" fontId="59" fillId="0" borderId="0" xfId="1" applyFont="1" applyAlignment="1">
      <alignment horizontal="right"/>
    </xf>
    <xf numFmtId="3" fontId="36" fillId="0" borderId="0" xfId="1" applyNumberFormat="1" applyFont="1"/>
    <xf numFmtId="0" fontId="41" fillId="0" borderId="0" xfId="1" applyFont="1" applyBorder="1" applyAlignment="1">
      <alignment horizontal="right" vertical="center"/>
    </xf>
    <xf numFmtId="0" fontId="42" fillId="0" borderId="0" xfId="1" applyFont="1" applyBorder="1" applyAlignment="1">
      <alignment horizontal="right" vertical="center"/>
    </xf>
    <xf numFmtId="0" fontId="48" fillId="0" borderId="0" xfId="1" applyFont="1" applyAlignment="1">
      <alignment horizontal="right"/>
    </xf>
    <xf numFmtId="0" fontId="60" fillId="0" borderId="0" xfId="1" applyFont="1" applyAlignment="1">
      <alignment horizontal="right"/>
    </xf>
    <xf numFmtId="0" fontId="61" fillId="0" borderId="0" xfId="1" applyFont="1" applyAlignment="1">
      <alignment horizontal="right"/>
    </xf>
    <xf numFmtId="3" fontId="62" fillId="0" borderId="0" xfId="1" applyNumberFormat="1" applyFont="1"/>
    <xf numFmtId="0" fontId="36" fillId="0" borderId="0" xfId="1" applyFont="1" applyAlignment="1">
      <alignment horizontal="right"/>
    </xf>
    <xf numFmtId="0" fontId="62" fillId="0" borderId="0" xfId="1" applyFont="1" applyAlignment="1">
      <alignment horizontal="right"/>
    </xf>
    <xf numFmtId="0" fontId="63" fillId="0" borderId="0" xfId="1" applyFont="1"/>
    <xf numFmtId="3" fontId="63" fillId="0" borderId="0" xfId="1" applyNumberFormat="1" applyFont="1"/>
    <xf numFmtId="49" fontId="54" fillId="10" borderId="44" xfId="1" applyNumberFormat="1" applyFont="1" applyFill="1" applyBorder="1" applyAlignment="1">
      <alignment horizontal="center" vertical="center"/>
    </xf>
    <xf numFmtId="49" fontId="54" fillId="10" borderId="36" xfId="1" applyNumberFormat="1" applyFont="1" applyFill="1" applyBorder="1" applyAlignment="1">
      <alignment horizontal="center" vertical="center"/>
    </xf>
    <xf numFmtId="0" fontId="16" fillId="10" borderId="36" xfId="1" applyFont="1" applyFill="1" applyBorder="1" applyAlignment="1">
      <alignment horizontal="center" vertical="center"/>
    </xf>
    <xf numFmtId="0" fontId="16" fillId="10" borderId="45" xfId="1" applyFont="1" applyFill="1" applyBorder="1" applyAlignment="1">
      <alignment horizontal="center" vertical="center"/>
    </xf>
    <xf numFmtId="3" fontId="12" fillId="11" borderId="26" xfId="1" applyNumberFormat="1" applyFont="1" applyFill="1" applyBorder="1" applyAlignment="1">
      <alignment vertical="center"/>
    </xf>
    <xf numFmtId="3" fontId="50" fillId="0" borderId="0" xfId="1" applyNumberFormat="1" applyFont="1"/>
    <xf numFmtId="49" fontId="15" fillId="0" borderId="35" xfId="1" applyNumberFormat="1" applyFont="1" applyFill="1" applyBorder="1" applyAlignment="1">
      <alignment horizontal="center" vertical="center" wrapText="1"/>
    </xf>
    <xf numFmtId="3" fontId="14" fillId="0" borderId="35" xfId="1" applyNumberFormat="1" applyFont="1" applyFill="1" applyBorder="1" applyAlignment="1">
      <alignment vertical="center"/>
    </xf>
    <xf numFmtId="3" fontId="14" fillId="0" borderId="43" xfId="1" applyNumberFormat="1" applyFont="1" applyFill="1" applyBorder="1" applyAlignment="1">
      <alignment vertical="center"/>
    </xf>
    <xf numFmtId="0" fontId="13" fillId="0" borderId="35" xfId="1" applyFont="1" applyBorder="1" applyAlignment="1">
      <alignment horizontal="center" vertical="center"/>
    </xf>
    <xf numFmtId="49" fontId="13" fillId="0" borderId="42" xfId="1" applyNumberFormat="1" applyFont="1" applyFill="1" applyBorder="1" applyAlignment="1">
      <alignment vertical="center"/>
    </xf>
    <xf numFmtId="0" fontId="14" fillId="0" borderId="50" xfId="1" applyFont="1" applyFill="1" applyBorder="1" applyAlignment="1">
      <alignment vertical="center" wrapText="1"/>
    </xf>
    <xf numFmtId="0" fontId="13" fillId="0" borderId="50" xfId="1" applyFont="1" applyFill="1" applyBorder="1" applyAlignment="1">
      <alignment vertical="center"/>
    </xf>
    <xf numFmtId="49" fontId="13" fillId="0" borderId="50" xfId="1" applyNumberFormat="1" applyFont="1" applyFill="1" applyBorder="1" applyAlignment="1">
      <alignment vertical="center"/>
    </xf>
    <xf numFmtId="49" fontId="13" fillId="0" borderId="50" xfId="1" applyNumberFormat="1" applyFont="1" applyFill="1" applyBorder="1" applyAlignment="1">
      <alignment horizontal="center" vertical="center"/>
    </xf>
    <xf numFmtId="3" fontId="13" fillId="0" borderId="50" xfId="1" applyNumberFormat="1" applyFont="1" applyFill="1" applyBorder="1" applyAlignment="1">
      <alignment vertical="center"/>
    </xf>
    <xf numFmtId="3" fontId="13" fillId="0" borderId="62" xfId="1" applyNumberFormat="1" applyFont="1" applyFill="1" applyBorder="1" applyAlignment="1">
      <alignment vertical="center"/>
    </xf>
    <xf numFmtId="3" fontId="50" fillId="0" borderId="0" xfId="1" applyNumberFormat="1" applyFont="1" applyFill="1"/>
    <xf numFmtId="0" fontId="13" fillId="0" borderId="50" xfId="1" applyFont="1" applyFill="1" applyBorder="1" applyAlignment="1">
      <alignment vertical="center" wrapText="1"/>
    </xf>
    <xf numFmtId="49" fontId="13" fillId="0" borderId="61" xfId="1" applyNumberFormat="1" applyFont="1" applyFill="1" applyBorder="1" applyAlignment="1">
      <alignment vertical="center"/>
    </xf>
    <xf numFmtId="0" fontId="14" fillId="0" borderId="51" xfId="1" applyFont="1" applyFill="1" applyBorder="1" applyAlignment="1">
      <alignment vertical="center" wrapText="1"/>
    </xf>
    <xf numFmtId="0" fontId="13" fillId="0" borderId="51" xfId="1" applyFont="1" applyFill="1" applyBorder="1" applyAlignment="1">
      <alignment vertical="center"/>
    </xf>
    <xf numFmtId="49" fontId="13" fillId="0" borderId="51" xfId="1" applyNumberFormat="1" applyFont="1" applyFill="1" applyBorder="1" applyAlignment="1">
      <alignment vertical="center"/>
    </xf>
    <xf numFmtId="49" fontId="13" fillId="0" borderId="35" xfId="1" applyNumberFormat="1" applyFont="1" applyFill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/>
    </xf>
    <xf numFmtId="3" fontId="13" fillId="0" borderId="36" xfId="1" applyNumberFormat="1" applyFont="1" applyFill="1" applyBorder="1" applyAlignment="1">
      <alignment vertical="center"/>
    </xf>
    <xf numFmtId="3" fontId="13" fillId="0" borderId="45" xfId="1" applyNumberFormat="1" applyFont="1" applyFill="1" applyBorder="1" applyAlignment="1">
      <alignment vertical="center"/>
    </xf>
    <xf numFmtId="3" fontId="9" fillId="11" borderId="25" xfId="1" applyNumberFormat="1" applyFont="1" applyFill="1" applyBorder="1" applyAlignment="1">
      <alignment vertical="center"/>
    </xf>
    <xf numFmtId="3" fontId="9" fillId="11" borderId="26" xfId="1" applyNumberFormat="1" applyFont="1" applyFill="1" applyBorder="1" applyAlignment="1">
      <alignment vertical="center"/>
    </xf>
    <xf numFmtId="49" fontId="9" fillId="11" borderId="46" xfId="1" applyNumberFormat="1" applyFont="1" applyFill="1" applyBorder="1" applyAlignment="1">
      <alignment horizontal="center" vertical="center"/>
    </xf>
    <xf numFmtId="3" fontId="9" fillId="11" borderId="27" xfId="1" applyNumberFormat="1" applyFont="1" applyFill="1" applyBorder="1" applyAlignment="1">
      <alignment vertical="center"/>
    </xf>
    <xf numFmtId="3" fontId="9" fillId="11" borderId="48" xfId="1" applyNumberFormat="1" applyFont="1" applyFill="1" applyBorder="1" applyAlignment="1">
      <alignment vertical="center"/>
    </xf>
    <xf numFmtId="49" fontId="9" fillId="11" borderId="42" xfId="1" applyNumberFormat="1" applyFont="1" applyFill="1" applyBorder="1" applyAlignment="1">
      <alignment horizontal="center" vertical="center"/>
    </xf>
    <xf numFmtId="3" fontId="9" fillId="11" borderId="50" xfId="1" applyNumberFormat="1" applyFont="1" applyFill="1" applyBorder="1" applyAlignment="1">
      <alignment vertical="center"/>
    </xf>
    <xf numFmtId="3" fontId="9" fillId="11" borderId="62" xfId="1" applyNumberFormat="1" applyFont="1" applyFill="1" applyBorder="1" applyAlignment="1">
      <alignment vertical="center"/>
    </xf>
    <xf numFmtId="0" fontId="13" fillId="0" borderId="38" xfId="1" applyFont="1" applyFill="1" applyBorder="1" applyAlignment="1">
      <alignment horizontal="center" vertical="center"/>
    </xf>
    <xf numFmtId="0" fontId="13" fillId="0" borderId="36" xfId="1" applyFont="1" applyFill="1" applyBorder="1" applyAlignment="1">
      <alignment horizontal="center" vertical="center"/>
    </xf>
    <xf numFmtId="0" fontId="13" fillId="0" borderId="50" xfId="1" applyFont="1" applyFill="1" applyBorder="1" applyAlignment="1">
      <alignment horizontal="center" vertical="center"/>
    </xf>
    <xf numFmtId="49" fontId="9" fillId="11" borderId="57" xfId="1" applyNumberFormat="1" applyFont="1" applyFill="1" applyBorder="1" applyAlignment="1">
      <alignment horizontal="center" vertical="center"/>
    </xf>
    <xf numFmtId="3" fontId="9" fillId="11" borderId="58" xfId="1" applyNumberFormat="1" applyFont="1" applyFill="1" applyBorder="1" applyAlignment="1">
      <alignment vertical="center"/>
    </xf>
    <xf numFmtId="3" fontId="9" fillId="11" borderId="71" xfId="1" applyNumberFormat="1" applyFont="1" applyFill="1" applyBorder="1" applyAlignment="1">
      <alignment vertical="center"/>
    </xf>
    <xf numFmtId="0" fontId="36" fillId="0" borderId="0" xfId="1" applyFont="1" applyBorder="1"/>
    <xf numFmtId="0" fontId="36" fillId="0" borderId="0" xfId="1" applyFont="1"/>
    <xf numFmtId="0" fontId="5" fillId="0" borderId="0" xfId="1" applyFont="1" applyBorder="1"/>
    <xf numFmtId="0" fontId="58" fillId="0" borderId="0" xfId="1" applyFont="1"/>
    <xf numFmtId="49" fontId="51" fillId="13" borderId="35" xfId="1" applyNumberFormat="1" applyFont="1" applyFill="1" applyBorder="1" applyAlignment="1">
      <alignment horizontal="center" vertical="center" wrapText="1"/>
    </xf>
    <xf numFmtId="3" fontId="55" fillId="13" borderId="35" xfId="1" applyNumberFormat="1" applyFont="1" applyFill="1" applyBorder="1" applyAlignment="1">
      <alignment vertical="center"/>
    </xf>
    <xf numFmtId="3" fontId="55" fillId="13" borderId="43" xfId="1" applyNumberFormat="1" applyFont="1" applyFill="1" applyBorder="1" applyAlignment="1">
      <alignment vertical="center"/>
    </xf>
    <xf numFmtId="49" fontId="54" fillId="0" borderId="35" xfId="1" applyNumberFormat="1" applyFont="1" applyFill="1" applyBorder="1" applyAlignment="1">
      <alignment horizontal="center" vertical="center" wrapText="1"/>
    </xf>
    <xf numFmtId="49" fontId="51" fillId="13" borderId="35" xfId="1" applyNumberFormat="1" applyFont="1" applyFill="1" applyBorder="1" applyAlignment="1">
      <alignment horizontal="center" vertical="center"/>
    </xf>
    <xf numFmtId="0" fontId="13" fillId="0" borderId="51" xfId="1" applyFont="1" applyFill="1" applyBorder="1" applyAlignment="1">
      <alignment vertical="center" wrapText="1"/>
    </xf>
    <xf numFmtId="0" fontId="13" fillId="0" borderId="52" xfId="1" applyFont="1" applyBorder="1" applyAlignment="1">
      <alignment horizontal="center" vertical="center"/>
    </xf>
    <xf numFmtId="3" fontId="13" fillId="0" borderId="52" xfId="1" applyNumberFormat="1" applyFont="1" applyFill="1" applyBorder="1" applyAlignment="1">
      <alignment vertical="center"/>
    </xf>
    <xf numFmtId="3" fontId="13" fillId="0" borderId="53" xfId="1" applyNumberFormat="1" applyFont="1" applyFill="1" applyBorder="1" applyAlignment="1">
      <alignment vertical="center"/>
    </xf>
    <xf numFmtId="3" fontId="12" fillId="10" borderId="26" xfId="1" applyNumberFormat="1" applyFont="1" applyFill="1" applyBorder="1" applyAlignment="1">
      <alignment vertical="center"/>
    </xf>
    <xf numFmtId="0" fontId="5" fillId="0" borderId="0" xfId="1" applyFont="1" applyBorder="1" applyAlignment="1">
      <alignment horizontal="left"/>
    </xf>
    <xf numFmtId="3" fontId="5" fillId="0" borderId="0" xfId="1" applyNumberFormat="1" applyFont="1" applyBorder="1" applyAlignment="1">
      <alignment horizontal="right"/>
    </xf>
    <xf numFmtId="0" fontId="43" fillId="0" borderId="0" xfId="1" applyFont="1"/>
    <xf numFmtId="0" fontId="43" fillId="0" borderId="0" xfId="1" applyFont="1" applyAlignment="1">
      <alignment horizontal="center"/>
    </xf>
    <xf numFmtId="3" fontId="7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12" fillId="0" borderId="0" xfId="1" applyFont="1"/>
    <xf numFmtId="0" fontId="12" fillId="0" borderId="0" xfId="1" applyFont="1" applyAlignment="1">
      <alignment horizontal="center"/>
    </xf>
    <xf numFmtId="3" fontId="6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0" fontId="5" fillId="0" borderId="0" xfId="1" applyFont="1" applyAlignment="1">
      <alignment horizontal="left"/>
    </xf>
    <xf numFmtId="3" fontId="64" fillId="0" borderId="0" xfId="1" applyNumberFormat="1" applyFont="1" applyAlignment="1">
      <alignment horizontal="center"/>
    </xf>
    <xf numFmtId="3" fontId="5" fillId="0" borderId="0" xfId="1" applyNumberFormat="1" applyAlignment="1">
      <alignment horizontal="center"/>
    </xf>
    <xf numFmtId="0" fontId="7" fillId="0" borderId="54" xfId="1" applyFont="1" applyBorder="1" applyAlignment="1">
      <alignment horizontal="center" vertical="center"/>
    </xf>
    <xf numFmtId="3" fontId="7" fillId="0" borderId="35" xfId="1" applyNumberFormat="1" applyFont="1" applyBorder="1" applyAlignment="1">
      <alignment horizontal="right" vertical="center"/>
    </xf>
    <xf numFmtId="3" fontId="7" fillId="0" borderId="35" xfId="1" applyNumberFormat="1" applyFont="1" applyBorder="1" applyAlignment="1">
      <alignment horizontal="right" vertical="center" wrapText="1"/>
    </xf>
    <xf numFmtId="3" fontId="7" fillId="0" borderId="43" xfId="1" applyNumberFormat="1" applyFont="1" applyBorder="1" applyAlignment="1">
      <alignment horizontal="left" vertical="center" wrapText="1"/>
    </xf>
    <xf numFmtId="3" fontId="5" fillId="0" borderId="0" xfId="1" applyNumberFormat="1" applyFont="1" applyAlignment="1">
      <alignment horizontal="center"/>
    </xf>
    <xf numFmtId="3" fontId="12" fillId="4" borderId="52" xfId="1" applyNumberFormat="1" applyFont="1" applyFill="1" applyBorder="1" applyAlignment="1">
      <alignment horizontal="right" vertical="center"/>
    </xf>
    <xf numFmtId="3" fontId="12" fillId="4" borderId="53" xfId="1" applyNumberFormat="1" applyFont="1" applyFill="1" applyBorder="1" applyAlignment="1">
      <alignment vertical="center"/>
    </xf>
    <xf numFmtId="0" fontId="45" fillId="4" borderId="0" xfId="1" applyFont="1" applyFill="1" applyBorder="1" applyAlignment="1">
      <alignment horizontal="center" vertical="center"/>
    </xf>
    <xf numFmtId="0" fontId="43" fillId="0" borderId="0" xfId="1" applyFont="1" applyBorder="1" applyAlignment="1">
      <alignment horizontal="center" vertical="center"/>
    </xf>
    <xf numFmtId="3" fontId="43" fillId="0" borderId="0" xfId="1" applyNumberFormat="1" applyFont="1" applyBorder="1" applyAlignment="1">
      <alignment horizontal="right" vertical="center"/>
    </xf>
    <xf numFmtId="3" fontId="43" fillId="0" borderId="0" xfId="1" applyNumberFormat="1" applyFont="1" applyBorder="1" applyAlignment="1">
      <alignment horizontal="right" vertical="center" wrapText="1"/>
    </xf>
    <xf numFmtId="3" fontId="45" fillId="4" borderId="0" xfId="1" applyNumberFormat="1" applyFont="1" applyFill="1" applyBorder="1" applyAlignment="1">
      <alignment horizontal="right" vertical="center"/>
    </xf>
    <xf numFmtId="3" fontId="45" fillId="4" borderId="0" xfId="1" applyNumberFormat="1" applyFont="1" applyFill="1" applyBorder="1" applyAlignment="1">
      <alignment vertical="center"/>
    </xf>
    <xf numFmtId="0" fontId="48" fillId="0" borderId="0" xfId="1" applyFont="1" applyBorder="1"/>
    <xf numFmtId="3" fontId="48" fillId="0" borderId="0" xfId="1" applyNumberFormat="1" applyFont="1" applyBorder="1"/>
    <xf numFmtId="3" fontId="36" fillId="0" borderId="0" xfId="1" applyNumberFormat="1" applyFont="1" applyAlignment="1">
      <alignment horizontal="right"/>
    </xf>
    <xf numFmtId="3" fontId="5" fillId="0" borderId="0" xfId="1" applyNumberFormat="1" applyAlignment="1">
      <alignment horizontal="right"/>
    </xf>
    <xf numFmtId="3" fontId="7" fillId="0" borderId="35" xfId="1" applyNumberFormat="1" applyFont="1" applyBorder="1" applyAlignment="1">
      <alignment vertical="center" wrapText="1"/>
    </xf>
    <xf numFmtId="3" fontId="7" fillId="0" borderId="45" xfId="1" applyNumberFormat="1" applyFont="1" applyBorder="1" applyAlignment="1">
      <alignment horizontal="left" vertical="center" wrapText="1"/>
    </xf>
    <xf numFmtId="3" fontId="5" fillId="0" borderId="0" xfId="1" applyNumberFormat="1" applyAlignment="1"/>
    <xf numFmtId="0" fontId="60" fillId="0" borderId="0" xfId="1" applyFont="1" applyFill="1" applyBorder="1"/>
    <xf numFmtId="3" fontId="48" fillId="0" borderId="0" xfId="1" applyNumberFormat="1" applyFont="1" applyBorder="1" applyAlignment="1"/>
    <xf numFmtId="0" fontId="60" fillId="0" borderId="0" xfId="1" applyFont="1" applyFill="1"/>
    <xf numFmtId="3" fontId="5" fillId="0" borderId="0" xfId="1" applyNumberFormat="1" applyFont="1" applyBorder="1"/>
    <xf numFmtId="0" fontId="58" fillId="0" borderId="0" xfId="1" applyFont="1" applyFill="1"/>
    <xf numFmtId="0" fontId="60" fillId="0" borderId="0" xfId="1" applyFont="1" applyBorder="1"/>
    <xf numFmtId="0" fontId="60" fillId="0" borderId="0" xfId="1" applyFont="1"/>
    <xf numFmtId="0" fontId="60" fillId="0" borderId="0" xfId="1" applyFont="1" applyBorder="1" applyAlignment="1">
      <alignment horizontal="right"/>
    </xf>
    <xf numFmtId="3" fontId="60" fillId="0" borderId="0" xfId="1" applyNumberFormat="1" applyFont="1" applyBorder="1"/>
    <xf numFmtId="3" fontId="36" fillId="0" borderId="0" xfId="1" applyNumberFormat="1" applyFont="1" applyAlignment="1"/>
    <xf numFmtId="3" fontId="58" fillId="0" borderId="0" xfId="1" applyNumberFormat="1" applyFont="1"/>
    <xf numFmtId="3" fontId="48" fillId="0" borderId="0" xfId="1" applyNumberFormat="1" applyFont="1" applyBorder="1" applyAlignment="1">
      <alignment horizontal="right"/>
    </xf>
    <xf numFmtId="0" fontId="7" fillId="0" borderId="61" xfId="1" applyFont="1" applyFill="1" applyBorder="1" applyAlignment="1">
      <alignment horizontal="center" vertical="center"/>
    </xf>
    <xf numFmtId="0" fontId="7" fillId="0" borderId="51" xfId="1" applyFont="1" applyFill="1" applyBorder="1" applyAlignment="1">
      <alignment horizontal="center" vertical="center"/>
    </xf>
    <xf numFmtId="3" fontId="7" fillId="0" borderId="36" xfId="1" applyNumberFormat="1" applyFont="1" applyFill="1" applyBorder="1" applyAlignment="1">
      <alignment horizontal="right" vertical="center" wrapText="1"/>
    </xf>
    <xf numFmtId="3" fontId="7" fillId="0" borderId="36" xfId="1" applyNumberFormat="1" applyFont="1" applyFill="1" applyBorder="1" applyAlignment="1">
      <alignment horizontal="right" vertical="center"/>
    </xf>
    <xf numFmtId="0" fontId="7" fillId="0" borderId="45" xfId="1" applyFont="1" applyFill="1" applyBorder="1" applyAlignment="1">
      <alignment vertical="center" wrapText="1"/>
    </xf>
    <xf numFmtId="3" fontId="12" fillId="4" borderId="68" xfId="1" applyNumberFormat="1" applyFont="1" applyFill="1" applyBorder="1" applyAlignment="1">
      <alignment horizontal="right" vertical="center"/>
    </xf>
    <xf numFmtId="3" fontId="64" fillId="0" borderId="0" xfId="1" applyNumberFormat="1" applyFont="1"/>
    <xf numFmtId="3" fontId="58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0" fontId="7" fillId="0" borderId="35" xfId="1" applyFont="1" applyFill="1" applyBorder="1" applyAlignment="1">
      <alignment horizontal="center" vertical="center"/>
    </xf>
    <xf numFmtId="0" fontId="48" fillId="0" borderId="0" xfId="1" applyFont="1" applyFill="1"/>
    <xf numFmtId="0" fontId="7" fillId="0" borderId="36" xfId="1" applyFont="1" applyFill="1" applyBorder="1" applyAlignment="1">
      <alignment horizontal="center" vertical="center"/>
    </xf>
    <xf numFmtId="3" fontId="7" fillId="0" borderId="35" xfId="1" applyNumberFormat="1" applyFont="1" applyFill="1" applyBorder="1" applyAlignment="1">
      <alignment horizontal="right" vertical="center" wrapText="1"/>
    </xf>
    <xf numFmtId="3" fontId="7" fillId="0" borderId="35" xfId="1" applyNumberFormat="1" applyFont="1" applyFill="1" applyBorder="1" applyAlignment="1">
      <alignment horizontal="right" vertical="center"/>
    </xf>
    <xf numFmtId="0" fontId="7" fillId="0" borderId="50" xfId="1" applyFont="1" applyFill="1" applyBorder="1" applyAlignment="1">
      <alignment horizontal="center" vertical="center"/>
    </xf>
    <xf numFmtId="3" fontId="7" fillId="0" borderId="50" xfId="1" applyNumberFormat="1" applyFont="1" applyFill="1" applyBorder="1" applyAlignment="1">
      <alignment horizontal="right" vertical="center"/>
    </xf>
    <xf numFmtId="0" fontId="7" fillId="0" borderId="50" xfId="1" applyFont="1" applyBorder="1" applyAlignment="1">
      <alignment horizontal="center" vertical="center"/>
    </xf>
    <xf numFmtId="0" fontId="5" fillId="0" borderId="0" xfId="1" applyAlignment="1">
      <alignment horizontal="right"/>
    </xf>
    <xf numFmtId="3" fontId="5" fillId="0" borderId="35" xfId="1" applyNumberFormat="1" applyFont="1" applyBorder="1" applyAlignment="1">
      <alignment horizontal="right" vertical="center"/>
    </xf>
    <xf numFmtId="3" fontId="7" fillId="0" borderId="45" xfId="1" applyNumberFormat="1" applyFont="1" applyBorder="1" applyAlignment="1">
      <alignment vertical="center" wrapText="1"/>
    </xf>
    <xf numFmtId="3" fontId="7" fillId="0" borderId="50" xfId="1" applyNumberFormat="1" applyFont="1" applyBorder="1" applyAlignment="1">
      <alignment horizontal="right" vertical="center"/>
    </xf>
    <xf numFmtId="0" fontId="32" fillId="0" borderId="35" xfId="1" applyFont="1" applyBorder="1" applyAlignment="1">
      <alignment horizontal="left" vertical="center" wrapText="1"/>
    </xf>
    <xf numFmtId="0" fontId="67" fillId="0" borderId="0" xfId="10" applyNumberFormat="1" applyFont="1" applyFill="1" applyBorder="1" applyAlignment="1" applyProtection="1">
      <alignment vertical="center"/>
      <protection locked="0"/>
    </xf>
    <xf numFmtId="0" fontId="67" fillId="0" borderId="0" xfId="10" applyNumberFormat="1" applyFont="1" applyFill="1" applyBorder="1" applyAlignment="1" applyProtection="1">
      <alignment horizontal="left" vertical="center"/>
      <protection locked="0"/>
    </xf>
    <xf numFmtId="0" fontId="68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68" fillId="0" borderId="0" xfId="10" applyNumberFormat="1" applyFont="1" applyFill="1" applyBorder="1" applyAlignment="1" applyProtection="1">
      <alignment horizontal="center" vertical="center"/>
      <protection locked="0"/>
    </xf>
    <xf numFmtId="0" fontId="70" fillId="0" borderId="0" xfId="10" applyNumberFormat="1" applyFont="1" applyFill="1" applyBorder="1" applyAlignment="1" applyProtection="1">
      <alignment horizontal="left" vertical="center"/>
      <protection locked="0"/>
    </xf>
    <xf numFmtId="49" fontId="71" fillId="14" borderId="75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78" xfId="10" applyNumberFormat="1" applyFont="1" applyFill="1" applyBorder="1" applyAlignment="1" applyProtection="1">
      <alignment horizontal="center" vertical="center" wrapText="1"/>
      <protection locked="0"/>
    </xf>
    <xf numFmtId="0" fontId="71" fillId="0" borderId="79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80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81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82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83" xfId="10" applyNumberFormat="1" applyFont="1" applyFill="1" applyBorder="1" applyAlignment="1" applyProtection="1">
      <alignment horizontal="center" vertical="center" wrapText="1"/>
      <protection locked="0"/>
    </xf>
    <xf numFmtId="0" fontId="71" fillId="0" borderId="45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84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87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87" xfId="10" applyNumberFormat="1" applyFont="1" applyFill="1" applyBorder="1" applyAlignment="1" applyProtection="1">
      <alignment horizontal="left" vertical="center" wrapText="1"/>
      <protection locked="0"/>
    </xf>
    <xf numFmtId="3" fontId="71" fillId="2" borderId="88" xfId="10" applyNumberFormat="1" applyFont="1" applyFill="1" applyBorder="1" applyAlignment="1" applyProtection="1">
      <alignment horizontal="right" vertical="center"/>
      <protection locked="0"/>
    </xf>
    <xf numFmtId="49" fontId="67" fillId="14" borderId="89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2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2" xfId="10" applyNumberFormat="1" applyFont="1" applyFill="1" applyBorder="1" applyAlignment="1" applyProtection="1">
      <alignment horizontal="left" vertical="center" wrapText="1"/>
      <protection locked="0"/>
    </xf>
    <xf numFmtId="3" fontId="72" fillId="12" borderId="93" xfId="10" applyNumberFormat="1" applyFont="1" applyFill="1" applyBorder="1" applyAlignment="1" applyProtection="1">
      <alignment horizontal="right" vertical="center"/>
      <protection locked="0"/>
    </xf>
    <xf numFmtId="3" fontId="71" fillId="0" borderId="98" xfId="10" applyNumberFormat="1" applyFont="1" applyFill="1" applyBorder="1" applyAlignment="1" applyProtection="1">
      <alignment horizontal="right" vertical="center"/>
      <protection locked="0"/>
    </xf>
    <xf numFmtId="3" fontId="67" fillId="0" borderId="98" xfId="10" applyNumberFormat="1" applyFont="1" applyFill="1" applyBorder="1" applyAlignment="1" applyProtection="1">
      <alignment vertical="center"/>
      <protection locked="0"/>
    </xf>
    <xf numFmtId="3" fontId="73" fillId="0" borderId="98" xfId="10" applyNumberFormat="1" applyFont="1" applyFill="1" applyBorder="1" applyAlignment="1" applyProtection="1">
      <alignment horizontal="right" vertical="center"/>
      <protection locked="0"/>
    </xf>
    <xf numFmtId="49" fontId="67" fillId="14" borderId="103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3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98" xfId="10" applyNumberFormat="1" applyFont="1" applyFill="1" applyBorder="1" applyAlignment="1" applyProtection="1">
      <alignment horizontal="right" vertical="center"/>
      <protection locked="0"/>
    </xf>
    <xf numFmtId="49" fontId="67" fillId="14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0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3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3" xfId="10" applyNumberFormat="1" applyFont="1" applyFill="1" applyBorder="1" applyAlignment="1" applyProtection="1">
      <alignment horizontal="left" vertical="center" wrapText="1"/>
      <protection locked="0"/>
    </xf>
    <xf numFmtId="3" fontId="72" fillId="12" borderId="98" xfId="10" applyNumberFormat="1" applyFont="1" applyFill="1" applyBorder="1" applyAlignment="1" applyProtection="1">
      <alignment horizontal="right" vertical="center"/>
      <protection locked="0"/>
    </xf>
    <xf numFmtId="49" fontId="67" fillId="0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00" xfId="10" applyNumberFormat="1" applyFont="1" applyFill="1" applyBorder="1" applyAlignment="1" applyProtection="1">
      <alignment horizontal="center" vertical="center" wrapText="1"/>
      <protection locked="0"/>
    </xf>
    <xf numFmtId="3" fontId="71" fillId="0" borderId="93" xfId="10" applyNumberFormat="1" applyFont="1" applyFill="1" applyBorder="1" applyAlignment="1" applyProtection="1">
      <alignment horizontal="right" vertical="center"/>
      <protection locked="0"/>
    </xf>
    <xf numFmtId="49" fontId="67" fillId="14" borderId="105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6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6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07" xfId="10" applyNumberFormat="1" applyFont="1" applyFill="1" applyBorder="1" applyAlignment="1" applyProtection="1">
      <alignment horizontal="right" vertical="center"/>
      <protection locked="0"/>
    </xf>
    <xf numFmtId="3" fontId="67" fillId="14" borderId="111" xfId="10" applyNumberFormat="1" applyFont="1" applyFill="1" applyBorder="1" applyAlignment="1" applyProtection="1">
      <alignment horizontal="right" vertical="center" wrapText="1"/>
      <protection locked="0"/>
    </xf>
    <xf numFmtId="49" fontId="67" fillId="14" borderId="92" xfId="10" applyNumberFormat="1" applyFont="1" applyFill="1" applyBorder="1" applyAlignment="1" applyProtection="1">
      <alignment horizontal="left" vertical="center" wrapText="1"/>
      <protection locked="0"/>
    </xf>
    <xf numFmtId="3" fontId="67" fillId="14" borderId="98" xfId="10" applyNumberFormat="1" applyFont="1" applyFill="1" applyBorder="1" applyAlignment="1" applyProtection="1">
      <alignment horizontal="right" vertical="center" wrapText="1"/>
      <protection locked="0"/>
    </xf>
    <xf numFmtId="49" fontId="67" fillId="14" borderId="96" xfId="10" applyNumberFormat="1" applyFont="1" applyFill="1" applyBorder="1" applyAlignment="1" applyProtection="1">
      <alignment horizontal="center" vertical="center" wrapText="1"/>
      <protection locked="0"/>
    </xf>
    <xf numFmtId="0" fontId="32" fillId="0" borderId="114" xfId="0" applyFont="1" applyBorder="1" applyAlignment="1">
      <alignment horizontal="left" vertical="center" wrapText="1"/>
    </xf>
    <xf numFmtId="49" fontId="67" fillId="0" borderId="94" xfId="10" applyNumberFormat="1" applyFont="1" applyFill="1" applyBorder="1" applyAlignment="1" applyProtection="1">
      <alignment vertical="center" wrapText="1"/>
      <protection locked="0"/>
    </xf>
    <xf numFmtId="49" fontId="67" fillId="0" borderId="95" xfId="10" applyNumberFormat="1" applyFont="1" applyFill="1" applyBorder="1" applyAlignment="1" applyProtection="1">
      <alignment vertical="center" wrapText="1"/>
      <protection locked="0"/>
    </xf>
    <xf numFmtId="49" fontId="67" fillId="0" borderId="99" xfId="10" applyNumberFormat="1" applyFont="1" applyFill="1" applyBorder="1" applyAlignment="1" applyProtection="1">
      <alignment vertical="center" wrapText="1"/>
      <protection locked="0"/>
    </xf>
    <xf numFmtId="49" fontId="67" fillId="0" borderId="100" xfId="10" applyNumberFormat="1" applyFont="1" applyFill="1" applyBorder="1" applyAlignment="1" applyProtection="1">
      <alignment vertical="center" wrapText="1"/>
      <protection locked="0"/>
    </xf>
    <xf numFmtId="49" fontId="67" fillId="0" borderId="90" xfId="10" applyNumberFormat="1" applyFont="1" applyFill="1" applyBorder="1" applyAlignment="1" applyProtection="1">
      <alignment horizontal="center" vertical="center" wrapText="1"/>
      <protection locked="0"/>
    </xf>
    <xf numFmtId="3" fontId="67" fillId="0" borderId="0" xfId="10" applyNumberFormat="1" applyFont="1" applyFill="1" applyBorder="1" applyAlignment="1" applyProtection="1">
      <alignment horizontal="left" vertical="center"/>
      <protection locked="0"/>
    </xf>
    <xf numFmtId="3" fontId="67" fillId="0" borderId="115" xfId="10" applyNumberFormat="1" applyFont="1" applyFill="1" applyBorder="1" applyAlignment="1" applyProtection="1">
      <alignment horizontal="right" vertical="center"/>
      <protection locked="0"/>
    </xf>
    <xf numFmtId="3" fontId="67" fillId="0" borderId="93" xfId="10" applyNumberFormat="1" applyFont="1" applyFill="1" applyBorder="1" applyAlignment="1" applyProtection="1">
      <alignment horizontal="right" vertical="center"/>
      <protection locked="0"/>
    </xf>
    <xf numFmtId="49" fontId="67" fillId="14" borderId="114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17" xfId="10" applyNumberFormat="1" applyFont="1" applyFill="1" applyBorder="1" applyAlignment="1" applyProtection="1">
      <alignment horizontal="left" vertical="center" wrapText="1"/>
      <protection locked="0"/>
    </xf>
    <xf numFmtId="3" fontId="67" fillId="14" borderId="118" xfId="10" applyNumberFormat="1" applyFont="1" applyFill="1" applyBorder="1" applyAlignment="1" applyProtection="1">
      <alignment horizontal="right" vertical="center" wrapText="1"/>
      <protection locked="0"/>
    </xf>
    <xf numFmtId="49" fontId="67" fillId="0" borderId="103" xfId="10" applyNumberFormat="1" applyFont="1" applyFill="1" applyBorder="1" applyAlignment="1" applyProtection="1">
      <alignment horizontal="center" vertical="center" wrapText="1"/>
      <protection locked="0"/>
    </xf>
    <xf numFmtId="0" fontId="32" fillId="0" borderId="103" xfId="0" applyFont="1" applyBorder="1" applyAlignment="1">
      <alignment vertical="center" wrapText="1"/>
    </xf>
    <xf numFmtId="3" fontId="67" fillId="14" borderId="119" xfId="10" applyNumberFormat="1" applyFont="1" applyFill="1" applyBorder="1" applyAlignment="1" applyProtection="1">
      <alignment horizontal="right" vertical="center" wrapText="1"/>
      <protection locked="0"/>
    </xf>
    <xf numFmtId="3" fontId="67" fillId="14" borderId="116" xfId="10" applyNumberFormat="1" applyFont="1" applyFill="1" applyBorder="1" applyAlignment="1" applyProtection="1">
      <alignment horizontal="right" vertical="center" wrapText="1"/>
      <protection locked="0"/>
    </xf>
    <xf numFmtId="49" fontId="67" fillId="14" borderId="113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0" xfId="10" applyNumberFormat="1" applyFont="1" applyFill="1" applyBorder="1" applyAlignment="1" applyProtection="1">
      <alignment horizontal="center" vertical="center" wrapText="1"/>
      <protection locked="0"/>
    </xf>
    <xf numFmtId="2" fontId="67" fillId="0" borderId="91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1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20" xfId="10" applyNumberFormat="1" applyFont="1" applyFill="1" applyBorder="1" applyAlignment="1" applyProtection="1">
      <alignment horizontal="center" vertical="center" wrapText="1"/>
      <protection locked="0"/>
    </xf>
    <xf numFmtId="3" fontId="71" fillId="12" borderId="98" xfId="10" applyNumberFormat="1" applyFont="1" applyFill="1" applyBorder="1" applyAlignment="1" applyProtection="1">
      <alignment horizontal="right" vertical="center"/>
      <protection locked="0"/>
    </xf>
    <xf numFmtId="3" fontId="67" fillId="0" borderId="115" xfId="10" applyNumberFormat="1" applyFont="1" applyFill="1" applyBorder="1" applyAlignment="1" applyProtection="1">
      <alignment horizontal="right" vertical="center" wrapText="1"/>
      <protection locked="0"/>
    </xf>
    <xf numFmtId="49" fontId="67" fillId="14" borderId="0" xfId="10" applyNumberFormat="1" applyFont="1" applyFill="1" applyBorder="1" applyAlignment="1" applyProtection="1">
      <alignment horizontal="center" vertical="center" wrapText="1"/>
      <protection locked="0"/>
    </xf>
    <xf numFmtId="0" fontId="32" fillId="0" borderId="96" xfId="0" applyFont="1" applyBorder="1" applyAlignment="1">
      <alignment horizontal="left" vertical="center" wrapText="1"/>
    </xf>
    <xf numFmtId="49" fontId="72" fillId="16" borderId="97" xfId="10" applyNumberFormat="1" applyFont="1" applyFill="1" applyBorder="1" applyAlignment="1" applyProtection="1">
      <alignment horizontal="center" vertical="center" wrapText="1"/>
      <protection locked="0"/>
    </xf>
    <xf numFmtId="49" fontId="73" fillId="16" borderId="105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5" xfId="10" applyNumberFormat="1" applyFont="1" applyFill="1" applyBorder="1" applyAlignment="1" applyProtection="1">
      <alignment horizontal="left" vertical="center" wrapText="1"/>
      <protection locked="0"/>
    </xf>
    <xf numFmtId="3" fontId="72" fillId="12" borderId="107" xfId="10" applyNumberFormat="1" applyFont="1" applyFill="1" applyBorder="1" applyAlignment="1" applyProtection="1">
      <alignment horizontal="right" vertical="center"/>
      <protection locked="0"/>
    </xf>
    <xf numFmtId="3" fontId="71" fillId="6" borderId="98" xfId="10" applyNumberFormat="1" applyFont="1" applyFill="1" applyBorder="1" applyAlignment="1" applyProtection="1">
      <alignment horizontal="right" vertical="center"/>
      <protection locked="0"/>
    </xf>
    <xf numFmtId="3" fontId="67" fillId="6" borderId="98" xfId="10" applyNumberFormat="1" applyFont="1" applyFill="1" applyBorder="1" applyAlignment="1" applyProtection="1">
      <alignment horizontal="right" vertical="center"/>
      <protection locked="0"/>
    </xf>
    <xf numFmtId="49" fontId="67" fillId="17" borderId="95" xfId="10" applyNumberFormat="1" applyFont="1" applyFill="1" applyBorder="1" applyAlignment="1" applyProtection="1">
      <alignment horizontal="left" vertical="center" wrapText="1"/>
      <protection locked="0"/>
    </xf>
    <xf numFmtId="3" fontId="67" fillId="6" borderId="107" xfId="10" applyNumberFormat="1" applyFont="1" applyFill="1" applyBorder="1" applyAlignment="1" applyProtection="1">
      <alignment horizontal="right" vertical="center"/>
      <protection locked="0"/>
    </xf>
    <xf numFmtId="0" fontId="67" fillId="18" borderId="0" xfId="10" applyNumberFormat="1" applyFont="1" applyFill="1" applyBorder="1" applyAlignment="1" applyProtection="1">
      <alignment horizontal="left" vertical="center"/>
      <protection locked="0"/>
    </xf>
    <xf numFmtId="49" fontId="67" fillId="14" borderId="90" xfId="10" applyNumberFormat="1" applyFont="1" applyFill="1" applyBorder="1" applyAlignment="1" applyProtection="1">
      <alignment horizontal="center" vertical="center" wrapText="1"/>
      <protection locked="0"/>
    </xf>
    <xf numFmtId="3" fontId="67" fillId="0" borderId="113" xfId="10" applyNumberFormat="1" applyFont="1" applyFill="1" applyBorder="1" applyAlignment="1" applyProtection="1">
      <alignment horizontal="right" vertical="center"/>
      <protection locked="0"/>
    </xf>
    <xf numFmtId="3" fontId="67" fillId="0" borderId="123" xfId="10" applyNumberFormat="1" applyFont="1" applyFill="1" applyBorder="1" applyAlignment="1" applyProtection="1">
      <alignment horizontal="right" vertical="center"/>
      <protection locked="0"/>
    </xf>
    <xf numFmtId="3" fontId="67" fillId="0" borderId="5" xfId="10" applyNumberFormat="1" applyFont="1" applyFill="1" applyBorder="1" applyAlignment="1" applyProtection="1">
      <alignment horizontal="right" vertical="center"/>
      <protection locked="0"/>
    </xf>
    <xf numFmtId="2" fontId="67" fillId="0" borderId="100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24" xfId="10" applyNumberFormat="1" applyFont="1" applyFill="1" applyBorder="1" applyAlignment="1" applyProtection="1">
      <alignment horizontal="right" vertical="center"/>
      <protection locked="0"/>
    </xf>
    <xf numFmtId="49" fontId="72" fillId="16" borderId="109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5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26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2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27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05" xfId="10" applyNumberFormat="1" applyFont="1" applyFill="1" applyBorder="1" applyAlignment="1" applyProtection="1">
      <alignment horizontal="center" vertical="center" wrapText="1"/>
      <protection locked="0"/>
    </xf>
    <xf numFmtId="49" fontId="73" fillId="14" borderId="96" xfId="10" applyNumberFormat="1" applyFont="1" applyFill="1" applyBorder="1" applyAlignment="1" applyProtection="1">
      <alignment horizontal="center" vertical="center" wrapText="1"/>
      <protection locked="0"/>
    </xf>
    <xf numFmtId="3" fontId="72" fillId="12" borderId="128" xfId="10" applyNumberFormat="1" applyFont="1" applyFill="1" applyBorder="1" applyAlignment="1" applyProtection="1">
      <alignment horizontal="right" vertical="center"/>
      <protection locked="0"/>
    </xf>
    <xf numFmtId="3" fontId="67" fillId="0" borderId="129" xfId="10" applyNumberFormat="1" applyFont="1" applyFill="1" applyBorder="1" applyAlignment="1" applyProtection="1">
      <alignment horizontal="right" vertical="center"/>
      <protection locked="0"/>
    </xf>
    <xf numFmtId="3" fontId="67" fillId="0" borderId="130" xfId="10" applyNumberFormat="1" applyFont="1" applyFill="1" applyBorder="1" applyAlignment="1" applyProtection="1">
      <alignment horizontal="right" vertical="center"/>
      <protection locked="0"/>
    </xf>
    <xf numFmtId="49" fontId="67" fillId="14" borderId="13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32" xfId="10" applyNumberFormat="1" applyFont="1" applyFill="1" applyBorder="1" applyAlignment="1" applyProtection="1">
      <alignment horizontal="left" vertical="center" wrapText="1"/>
      <protection locked="0"/>
    </xf>
    <xf numFmtId="3" fontId="71" fillId="0" borderId="98" xfId="10" applyNumberFormat="1" applyFont="1" applyFill="1" applyBorder="1" applyAlignment="1" applyProtection="1">
      <alignment vertical="center"/>
      <protection locked="0"/>
    </xf>
    <xf numFmtId="49" fontId="67" fillId="14" borderId="134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35" xfId="10" applyNumberFormat="1" applyFont="1" applyFill="1" applyBorder="1" applyAlignment="1" applyProtection="1">
      <alignment horizontal="center" vertical="center" wrapText="1"/>
      <protection locked="0"/>
    </xf>
    <xf numFmtId="3" fontId="72" fillId="12" borderId="129" xfId="10" applyNumberFormat="1" applyFont="1" applyFill="1" applyBorder="1" applyAlignment="1" applyProtection="1">
      <alignment vertical="center"/>
      <protection locked="0"/>
    </xf>
    <xf numFmtId="3" fontId="72" fillId="0" borderId="93" xfId="10" applyNumberFormat="1" applyFont="1" applyFill="1" applyBorder="1" applyAlignment="1" applyProtection="1">
      <alignment vertical="center"/>
      <protection locked="0"/>
    </xf>
    <xf numFmtId="49" fontId="67" fillId="0" borderId="96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4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07" xfId="10" applyNumberFormat="1" applyFont="1" applyFill="1" applyBorder="1" applyAlignment="1" applyProtection="1">
      <alignment vertical="center"/>
      <protection locked="0"/>
    </xf>
    <xf numFmtId="49" fontId="72" fillId="12" borderId="139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139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43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5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73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53" xfId="10" applyNumberFormat="1" applyFont="1" applyFill="1" applyBorder="1" applyAlignment="1" applyProtection="1">
      <alignment horizontal="right" vertical="center"/>
      <protection locked="0"/>
    </xf>
    <xf numFmtId="49" fontId="67" fillId="14" borderId="6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7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8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27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31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24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153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154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55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56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28" xfId="10" applyNumberFormat="1" applyFont="1" applyFill="1" applyBorder="1" applyAlignment="1" applyProtection="1">
      <alignment horizontal="right" vertical="center"/>
      <protection locked="0"/>
    </xf>
    <xf numFmtId="3" fontId="67" fillId="14" borderId="123" xfId="10" applyNumberFormat="1" applyFont="1" applyFill="1" applyBorder="1" applyAlignment="1" applyProtection="1">
      <alignment horizontal="right" vertical="center" wrapText="1"/>
      <protection locked="0"/>
    </xf>
    <xf numFmtId="3" fontId="67" fillId="14" borderId="123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1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24" xfId="10" applyNumberFormat="1" applyFont="1" applyFill="1" applyBorder="1" applyAlignment="1" applyProtection="1">
      <alignment vertical="center"/>
      <protection locked="0"/>
    </xf>
    <xf numFmtId="49" fontId="67" fillId="14" borderId="108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9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5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0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57" xfId="10" applyNumberFormat="1" applyFont="1" applyFill="1" applyBorder="1" applyAlignment="1" applyProtection="1">
      <alignment horizontal="center" vertical="center" wrapText="1"/>
      <protection locked="0"/>
    </xf>
    <xf numFmtId="0" fontId="67" fillId="14" borderId="103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58" xfId="10" applyNumberFormat="1" applyFont="1" applyFill="1" applyBorder="1" applyAlignment="1" applyProtection="1">
      <alignment horizontal="center" vertical="center" wrapText="1"/>
      <protection locked="0"/>
    </xf>
    <xf numFmtId="3" fontId="72" fillId="12" borderId="129" xfId="10" applyNumberFormat="1" applyFont="1" applyFill="1" applyBorder="1" applyAlignment="1" applyProtection="1">
      <alignment horizontal="right" vertical="center"/>
      <protection locked="0"/>
    </xf>
    <xf numFmtId="3" fontId="67" fillId="0" borderId="159" xfId="10" applyNumberFormat="1" applyFont="1" applyFill="1" applyBorder="1" applyAlignment="1" applyProtection="1">
      <alignment horizontal="right" vertical="center"/>
      <protection locked="0"/>
    </xf>
    <xf numFmtId="49" fontId="67" fillId="14" borderId="94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36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78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78" xfId="10" applyNumberFormat="1" applyFont="1" applyFill="1" applyBorder="1" applyAlignment="1" applyProtection="1">
      <alignment horizontal="left" vertical="center" wrapText="1"/>
      <protection locked="0"/>
    </xf>
    <xf numFmtId="3" fontId="72" fillId="12" borderId="79" xfId="10" applyNumberFormat="1" applyFont="1" applyFill="1" applyBorder="1" applyAlignment="1" applyProtection="1">
      <alignment horizontal="right" vertical="center"/>
      <protection locked="0"/>
    </xf>
    <xf numFmtId="49" fontId="71" fillId="0" borderId="96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6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61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91" xfId="10" applyNumberFormat="1" applyFont="1" applyFill="1" applyBorder="1" applyAlignment="1" applyProtection="1">
      <alignment horizontal="center" vertical="center" wrapText="1"/>
      <protection locked="0"/>
    </xf>
    <xf numFmtId="3" fontId="72" fillId="0" borderId="98" xfId="10" applyNumberFormat="1" applyFont="1" applyFill="1" applyBorder="1" applyAlignment="1" applyProtection="1">
      <alignment horizontal="right" vertical="center"/>
      <protection locked="0"/>
    </xf>
    <xf numFmtId="49" fontId="67" fillId="0" borderId="122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162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149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5" xfId="10" applyNumberFormat="1" applyFont="1" applyFill="1" applyBorder="1" applyAlignment="1" applyProtection="1">
      <alignment vertical="center" wrapText="1"/>
      <protection locked="0"/>
    </xf>
    <xf numFmtId="49" fontId="71" fillId="16" borderId="97" xfId="10" applyNumberFormat="1" applyFont="1" applyFill="1" applyBorder="1" applyAlignment="1" applyProtection="1">
      <alignment horizontal="left" vertical="center" wrapText="1"/>
      <protection locked="0"/>
    </xf>
    <xf numFmtId="49" fontId="71" fillId="16" borderId="103" xfId="10" applyNumberFormat="1" applyFont="1" applyFill="1" applyBorder="1" applyAlignment="1" applyProtection="1">
      <alignment horizontal="center" vertical="center" wrapText="1"/>
      <protection locked="0"/>
    </xf>
    <xf numFmtId="49" fontId="71" fillId="16" borderId="103" xfId="10" applyNumberFormat="1" applyFont="1" applyFill="1" applyBorder="1" applyAlignment="1" applyProtection="1">
      <alignment horizontal="left" vertical="center" wrapText="1"/>
      <protection locked="0"/>
    </xf>
    <xf numFmtId="49" fontId="67" fillId="17" borderId="103" xfId="10" applyNumberFormat="1" applyFont="1" applyFill="1" applyBorder="1" applyAlignment="1" applyProtection="1">
      <alignment horizontal="center" vertical="center" wrapText="1"/>
      <protection locked="0"/>
    </xf>
    <xf numFmtId="49" fontId="67" fillId="17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5" xfId="10" applyNumberFormat="1" applyFont="1" applyFill="1" applyBorder="1" applyAlignment="1" applyProtection="1">
      <alignment horizontal="center" vertical="center" wrapText="1"/>
      <protection locked="0"/>
    </xf>
    <xf numFmtId="49" fontId="67" fillId="16" borderId="103" xfId="10" applyNumberFormat="1" applyFont="1" applyFill="1" applyBorder="1" applyAlignment="1" applyProtection="1">
      <alignment horizontal="center" vertical="center" wrapText="1"/>
      <protection locked="0"/>
    </xf>
    <xf numFmtId="49" fontId="67" fillId="17" borderId="100" xfId="10" applyNumberFormat="1" applyFont="1" applyFill="1" applyBorder="1" applyAlignment="1" applyProtection="1">
      <alignment horizontal="center" vertical="center" wrapText="1"/>
      <protection locked="0"/>
    </xf>
    <xf numFmtId="49" fontId="67" fillId="17" borderId="103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2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18" xfId="10" applyNumberFormat="1" applyFont="1" applyFill="1" applyBorder="1" applyAlignment="1" applyProtection="1">
      <alignment horizontal="right" vertical="center"/>
      <protection locked="0"/>
    </xf>
    <xf numFmtId="49" fontId="71" fillId="0" borderId="89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92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92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46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20" xfId="10" applyNumberFormat="1" applyFont="1" applyFill="1" applyBorder="1" applyAlignment="1" applyProtection="1">
      <alignment horizontal="left" vertical="center" wrapText="1"/>
      <protection locked="0"/>
    </xf>
    <xf numFmtId="49" fontId="32" fillId="17" borderId="103" xfId="10" applyNumberFormat="1" applyFont="1" applyFill="1" applyBorder="1" applyAlignment="1" applyProtection="1">
      <alignment horizontal="center" vertical="center" wrapText="1"/>
      <protection locked="0"/>
    </xf>
    <xf numFmtId="3" fontId="67" fillId="0" borderId="93" xfId="10" applyNumberFormat="1" applyFont="1" applyFill="1" applyBorder="1" applyAlignment="1" applyProtection="1">
      <alignment vertical="center"/>
      <protection locked="0"/>
    </xf>
    <xf numFmtId="49" fontId="67" fillId="14" borderId="12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5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6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27" xfId="10" applyNumberFormat="1" applyFont="1" applyFill="1" applyBorder="1" applyAlignment="1" applyProtection="1">
      <alignment horizontal="left" vertical="center" wrapText="1"/>
      <protection locked="0"/>
    </xf>
    <xf numFmtId="3" fontId="71" fillId="0" borderId="128" xfId="10" applyNumberFormat="1" applyFont="1" applyFill="1" applyBorder="1" applyAlignment="1" applyProtection="1">
      <alignment horizontal="right" vertical="center"/>
      <protection locked="0"/>
    </xf>
    <xf numFmtId="49" fontId="71" fillId="19" borderId="84" xfId="10" applyNumberFormat="1" applyFont="1" applyFill="1" applyBorder="1" applyAlignment="1" applyProtection="1">
      <alignment horizontal="center" vertical="center" wrapText="1"/>
      <protection locked="0"/>
    </xf>
    <xf numFmtId="49" fontId="71" fillId="19" borderId="87" xfId="10" applyNumberFormat="1" applyFont="1" applyFill="1" applyBorder="1" applyAlignment="1" applyProtection="1">
      <alignment horizontal="center" vertical="center" wrapText="1"/>
      <protection locked="0"/>
    </xf>
    <xf numFmtId="49" fontId="71" fillId="19" borderId="87" xfId="10" applyNumberFormat="1" applyFont="1" applyFill="1" applyBorder="1" applyAlignment="1" applyProtection="1">
      <alignment horizontal="left" vertical="center" wrapText="1"/>
      <protection locked="0"/>
    </xf>
    <xf numFmtId="3" fontId="71" fillId="3" borderId="88" xfId="10" applyNumberFormat="1" applyFont="1" applyFill="1" applyBorder="1" applyAlignment="1" applyProtection="1">
      <alignment horizontal="right" vertical="center"/>
      <protection locked="0"/>
    </xf>
    <xf numFmtId="49" fontId="67" fillId="0" borderId="103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0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114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1" xfId="10" applyNumberFormat="1" applyFont="1" applyFill="1" applyBorder="1" applyAlignment="1" applyProtection="1">
      <alignment horizontal="left" vertical="center" wrapText="1"/>
      <protection locked="0"/>
    </xf>
    <xf numFmtId="49" fontId="32" fillId="0" borderId="103" xfId="0" applyNumberFormat="1" applyFont="1" applyBorder="1" applyAlignment="1">
      <alignment vertical="center" wrapText="1"/>
    </xf>
    <xf numFmtId="49" fontId="67" fillId="17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68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69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70" xfId="10" applyNumberFormat="1" applyFont="1" applyFill="1" applyBorder="1" applyAlignment="1" applyProtection="1">
      <alignment horizontal="left" vertical="center" wrapText="1"/>
      <protection locked="0"/>
    </xf>
    <xf numFmtId="3" fontId="67" fillId="0" borderId="171" xfId="10" applyNumberFormat="1" applyFont="1" applyFill="1" applyBorder="1" applyAlignment="1" applyProtection="1">
      <alignment horizontal="right" vertical="center"/>
      <protection locked="0"/>
    </xf>
    <xf numFmtId="49" fontId="67" fillId="14" borderId="114" xfId="10" applyNumberFormat="1" applyFont="1" applyFill="1" applyBorder="1" applyAlignment="1" applyProtection="1">
      <alignment horizontal="center" vertical="center" wrapText="1"/>
      <protection locked="0"/>
    </xf>
    <xf numFmtId="49" fontId="32" fillId="0" borderId="105" xfId="0" applyNumberFormat="1" applyFont="1" applyBorder="1" applyAlignment="1">
      <alignment vertical="center" wrapText="1"/>
    </xf>
    <xf numFmtId="49" fontId="72" fillId="16" borderId="149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1" xfId="10" applyNumberFormat="1" applyFont="1" applyFill="1" applyBorder="1" applyAlignment="1" applyProtection="1">
      <alignment horizontal="left" vertical="center" wrapText="1"/>
      <protection locked="0"/>
    </xf>
    <xf numFmtId="49" fontId="71" fillId="19" borderId="88" xfId="10" applyNumberFormat="1" applyFont="1" applyFill="1" applyBorder="1" applyAlignment="1" applyProtection="1">
      <alignment vertical="top" wrapText="1"/>
      <protection locked="0"/>
    </xf>
    <xf numFmtId="3" fontId="72" fillId="16" borderId="88" xfId="10" applyNumberFormat="1" applyFont="1" applyFill="1" applyBorder="1" applyAlignment="1" applyProtection="1">
      <alignment horizontal="right" vertical="center" wrapText="1"/>
      <protection locked="0"/>
    </xf>
    <xf numFmtId="3" fontId="67" fillId="14" borderId="93" xfId="10" applyNumberFormat="1" applyFont="1" applyFill="1" applyBorder="1" applyAlignment="1" applyProtection="1">
      <alignment horizontal="right" vertical="center" wrapText="1"/>
      <protection locked="0"/>
    </xf>
    <xf numFmtId="3" fontId="67" fillId="14" borderId="107" xfId="10" applyNumberFormat="1" applyFont="1" applyFill="1" applyBorder="1" applyAlignment="1" applyProtection="1">
      <alignment horizontal="right" vertical="center" wrapText="1"/>
      <protection locked="0"/>
    </xf>
    <xf numFmtId="3" fontId="67" fillId="0" borderId="0" xfId="10" applyNumberFormat="1" applyFont="1" applyFill="1" applyBorder="1" applyAlignment="1" applyProtection="1">
      <alignment horizontal="right" vertical="center"/>
      <protection locked="0"/>
    </xf>
    <xf numFmtId="3" fontId="67" fillId="14" borderId="53" xfId="10" applyNumberFormat="1" applyFont="1" applyFill="1" applyBorder="1" applyAlignment="1" applyProtection="1">
      <alignment horizontal="right" vertical="center" wrapText="1"/>
      <protection locked="0"/>
    </xf>
    <xf numFmtId="49" fontId="75" fillId="14" borderId="0" xfId="10" applyNumberFormat="1" applyFont="1" applyFill="1" applyBorder="1" applyAlignment="1" applyProtection="1">
      <alignment vertical="top" wrapText="1"/>
      <protection locked="0"/>
    </xf>
    <xf numFmtId="3" fontId="75" fillId="14" borderId="0" xfId="10" applyNumberFormat="1" applyFont="1" applyFill="1" applyBorder="1" applyAlignment="1" applyProtection="1">
      <alignment vertical="top" wrapText="1"/>
      <protection locked="0"/>
    </xf>
    <xf numFmtId="0" fontId="33" fillId="0" borderId="0" xfId="15" applyFont="1" applyAlignment="1">
      <alignment horizontal="center" vertical="center"/>
    </xf>
    <xf numFmtId="10" fontId="48" fillId="0" borderId="0" xfId="15" applyNumberFormat="1" applyFont="1" applyBorder="1" applyAlignment="1">
      <alignment horizontal="right" vertical="center"/>
    </xf>
    <xf numFmtId="0" fontId="33" fillId="0" borderId="0" xfId="15"/>
    <xf numFmtId="0" fontId="33" fillId="0" borderId="0" xfId="15" applyFont="1" applyAlignment="1">
      <alignment vertical="center"/>
    </xf>
    <xf numFmtId="0" fontId="39" fillId="0" borderId="0" xfId="15" applyFont="1" applyAlignment="1">
      <alignment vertical="center"/>
    </xf>
    <xf numFmtId="0" fontId="76" fillId="0" borderId="0" xfId="15" applyFont="1" applyBorder="1" applyAlignment="1">
      <alignment vertical="center" wrapText="1"/>
    </xf>
    <xf numFmtId="0" fontId="77" fillId="0" borderId="0" xfId="15" applyFont="1" applyBorder="1" applyAlignment="1">
      <alignment horizontal="center" vertical="center"/>
    </xf>
    <xf numFmtId="0" fontId="33" fillId="0" borderId="0" xfId="15" applyFont="1" applyBorder="1" applyAlignment="1">
      <alignment horizontal="center" vertical="center"/>
    </xf>
    <xf numFmtId="0" fontId="33" fillId="0" borderId="0" xfId="15" applyFont="1" applyBorder="1" applyAlignment="1">
      <alignment vertical="center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4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49" fontId="34" fillId="2" borderId="4" xfId="15" applyNumberFormat="1" applyFont="1" applyFill="1" applyBorder="1" applyAlignment="1">
      <alignment horizontal="center" vertical="center"/>
    </xf>
    <xf numFmtId="0" fontId="12" fillId="4" borderId="4" xfId="15" quotePrefix="1" applyFont="1" applyFill="1" applyBorder="1" applyAlignment="1">
      <alignment horizontal="center" vertical="center" wrapText="1"/>
    </xf>
    <xf numFmtId="0" fontId="12" fillId="4" borderId="12" xfId="15" quotePrefix="1" applyFont="1" applyFill="1" applyBorder="1" applyAlignment="1">
      <alignment horizontal="center" vertical="center" wrapText="1"/>
    </xf>
    <xf numFmtId="0" fontId="37" fillId="4" borderId="9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vertical="center" wrapText="1"/>
    </xf>
    <xf numFmtId="3" fontId="78" fillId="4" borderId="19" xfId="15" applyNumberFormat="1" applyFont="1" applyFill="1" applyBorder="1" applyAlignment="1">
      <alignment horizontal="right" vertical="center"/>
    </xf>
    <xf numFmtId="49" fontId="9" fillId="20" borderId="13" xfId="15" applyNumberFormat="1" applyFont="1" applyFill="1" applyBorder="1" applyAlignment="1">
      <alignment horizontal="center" vertical="center" wrapText="1"/>
    </xf>
    <xf numFmtId="0" fontId="79" fillId="20" borderId="4" xfId="15" applyFont="1" applyFill="1" applyBorder="1" applyAlignment="1">
      <alignment vertical="center" wrapText="1"/>
    </xf>
    <xf numFmtId="0" fontId="9" fillId="20" borderId="9" xfId="15" applyFont="1" applyFill="1" applyBorder="1" applyAlignment="1">
      <alignment vertical="center" wrapText="1"/>
    </xf>
    <xf numFmtId="3" fontId="78" fillId="20" borderId="19" xfId="15" applyNumberFormat="1" applyFont="1" applyFill="1" applyBorder="1" applyAlignment="1">
      <alignment horizontal="right" vertical="center"/>
    </xf>
    <xf numFmtId="0" fontId="8" fillId="13" borderId="177" xfId="15" applyFont="1" applyFill="1" applyBorder="1" applyAlignment="1">
      <alignment vertical="center" wrapText="1"/>
    </xf>
    <xf numFmtId="3" fontId="80" fillId="13" borderId="19" xfId="15" applyNumberFormat="1" applyFont="1" applyFill="1" applyBorder="1" applyAlignment="1">
      <alignment horizontal="right" vertical="center"/>
    </xf>
    <xf numFmtId="49" fontId="7" fillId="0" borderId="173" xfId="15" applyNumberFormat="1" applyFont="1" applyFill="1" applyBorder="1" applyAlignment="1">
      <alignment horizontal="center" vertical="center" wrapText="1"/>
    </xf>
    <xf numFmtId="3" fontId="35" fillId="0" borderId="34" xfId="15" applyNumberFormat="1" applyFont="1" applyFill="1" applyBorder="1" applyAlignment="1">
      <alignment horizontal="right" vertical="center"/>
    </xf>
    <xf numFmtId="49" fontId="7" fillId="0" borderId="6" xfId="15" applyNumberFormat="1" applyFont="1" applyFill="1" applyBorder="1" applyAlignment="1">
      <alignment horizontal="center" vertical="center" wrapText="1"/>
    </xf>
    <xf numFmtId="3" fontId="35" fillId="0" borderId="40" xfId="15" applyNumberFormat="1" applyFont="1" applyFill="1" applyBorder="1" applyAlignment="1">
      <alignment horizontal="right" vertical="center"/>
    </xf>
    <xf numFmtId="0" fontId="8" fillId="13" borderId="65" xfId="15" applyFont="1" applyFill="1" applyBorder="1" applyAlignment="1">
      <alignment vertical="center" wrapText="1"/>
    </xf>
    <xf numFmtId="3" fontId="80" fillId="13" borderId="7" xfId="15" applyNumberFormat="1" applyFont="1" applyFill="1" applyBorder="1" applyAlignment="1">
      <alignment horizontal="right" vertical="center"/>
    </xf>
    <xf numFmtId="0" fontId="81" fillId="20" borderId="13" xfId="15" quotePrefix="1" applyFont="1" applyFill="1" applyBorder="1" applyAlignment="1">
      <alignment horizontal="center" vertical="center" wrapText="1"/>
    </xf>
    <xf numFmtId="0" fontId="82" fillId="20" borderId="4" xfId="15" applyFont="1" applyFill="1" applyBorder="1" applyAlignment="1">
      <alignment vertical="center" wrapText="1"/>
    </xf>
    <xf numFmtId="0" fontId="81" fillId="20" borderId="13" xfId="15" applyFont="1" applyFill="1" applyBorder="1" applyAlignment="1">
      <alignment vertical="center" wrapText="1"/>
    </xf>
    <xf numFmtId="0" fontId="8" fillId="13" borderId="177" xfId="15" quotePrefix="1" applyFont="1" applyFill="1" applyBorder="1" applyAlignment="1">
      <alignment horizontal="left" vertical="center" wrapText="1"/>
    </xf>
    <xf numFmtId="49" fontId="7" fillId="0" borderId="173" xfId="15" applyNumberFormat="1" applyFont="1" applyBorder="1" applyAlignment="1">
      <alignment horizontal="center" vertical="center" wrapText="1"/>
    </xf>
    <xf numFmtId="49" fontId="7" fillId="0" borderId="6" xfId="15" applyNumberFormat="1" applyFont="1" applyBorder="1" applyAlignment="1">
      <alignment horizontal="center" vertical="center" wrapText="1"/>
    </xf>
    <xf numFmtId="3" fontId="80" fillId="13" borderId="17" xfId="15" applyNumberFormat="1" applyFont="1" applyFill="1" applyBorder="1" applyAlignment="1">
      <alignment horizontal="right" vertical="center"/>
    </xf>
    <xf numFmtId="0" fontId="82" fillId="20" borderId="9" xfId="15" applyFont="1" applyFill="1" applyBorder="1" applyAlignment="1">
      <alignment vertical="center" wrapText="1"/>
    </xf>
    <xf numFmtId="0" fontId="81" fillId="20" borderId="9" xfId="15" applyFont="1" applyFill="1" applyBorder="1" applyAlignment="1">
      <alignment vertical="center" wrapText="1"/>
    </xf>
    <xf numFmtId="3" fontId="80" fillId="13" borderId="8" xfId="15" applyNumberFormat="1" applyFont="1" applyFill="1" applyBorder="1" applyAlignment="1">
      <alignment horizontal="right" vertical="center"/>
    </xf>
    <xf numFmtId="0" fontId="83" fillId="0" borderId="98" xfId="15" applyFont="1" applyBorder="1" applyAlignment="1">
      <alignment vertical="center" wrapText="1"/>
    </xf>
    <xf numFmtId="0" fontId="77" fillId="0" borderId="174" xfId="15" applyFont="1" applyBorder="1" applyAlignment="1">
      <alignment horizontal="center" vertical="center" wrapText="1"/>
    </xf>
    <xf numFmtId="3" fontId="35" fillId="0" borderId="17" xfId="15" applyNumberFormat="1" applyFont="1" applyFill="1" applyBorder="1" applyAlignment="1">
      <alignment horizontal="right" vertical="center"/>
    </xf>
    <xf numFmtId="0" fontId="83" fillId="0" borderId="45" xfId="15" applyFont="1" applyBorder="1" applyAlignment="1">
      <alignment vertical="center" wrapText="1"/>
    </xf>
    <xf numFmtId="0" fontId="77" fillId="0" borderId="179" xfId="15" applyFont="1" applyBorder="1" applyAlignment="1">
      <alignment horizontal="center" vertical="center" wrapText="1"/>
    </xf>
    <xf numFmtId="0" fontId="8" fillId="13" borderId="174" xfId="15" quotePrefix="1" applyFont="1" applyFill="1" applyBorder="1" applyAlignment="1">
      <alignment horizontal="left" vertical="center" wrapText="1"/>
    </xf>
    <xf numFmtId="3" fontId="80" fillId="13" borderId="34" xfId="15" applyNumberFormat="1" applyFont="1" applyFill="1" applyBorder="1" applyAlignment="1">
      <alignment horizontal="right" vertical="center"/>
    </xf>
    <xf numFmtId="0" fontId="83" fillId="6" borderId="34" xfId="15" applyFont="1" applyFill="1" applyBorder="1" applyAlignment="1">
      <alignment vertical="center" wrapText="1"/>
    </xf>
    <xf numFmtId="0" fontId="83" fillId="6" borderId="18" xfId="15" applyFont="1" applyFill="1" applyBorder="1" applyAlignment="1">
      <alignment vertical="center" wrapText="1"/>
    </xf>
    <xf numFmtId="0" fontId="8" fillId="13" borderId="6" xfId="15" quotePrefix="1" applyFont="1" applyFill="1" applyBorder="1" applyAlignment="1">
      <alignment horizontal="left" vertical="center" wrapText="1"/>
    </xf>
    <xf numFmtId="0" fontId="32" fillId="6" borderId="180" xfId="15" quotePrefix="1" applyFont="1" applyFill="1" applyBorder="1" applyAlignment="1">
      <alignment horizontal="left" vertical="center" wrapText="1"/>
    </xf>
    <xf numFmtId="0" fontId="32" fillId="6" borderId="132" xfId="15" quotePrefix="1" applyFont="1" applyFill="1" applyBorder="1" applyAlignment="1">
      <alignment horizontal="center" vertical="center" wrapText="1"/>
    </xf>
    <xf numFmtId="0" fontId="32" fillId="6" borderId="118" xfId="15" quotePrefix="1" applyFont="1" applyFill="1" applyBorder="1" applyAlignment="1">
      <alignment horizontal="left" vertical="center" wrapText="1"/>
    </xf>
    <xf numFmtId="0" fontId="32" fillId="6" borderId="162" xfId="15" quotePrefix="1" applyFont="1" applyFill="1" applyBorder="1" applyAlignment="1">
      <alignment horizontal="center" vertical="center" wrapText="1"/>
    </xf>
    <xf numFmtId="49" fontId="8" fillId="13" borderId="173" xfId="15" applyNumberFormat="1" applyFont="1" applyFill="1" applyBorder="1" applyAlignment="1">
      <alignment horizontal="left" vertical="center" wrapText="1"/>
    </xf>
    <xf numFmtId="49" fontId="9" fillId="0" borderId="182" xfId="15" applyNumberFormat="1" applyFont="1" applyBorder="1" applyAlignment="1">
      <alignment horizontal="center" vertical="center" wrapText="1"/>
    </xf>
    <xf numFmtId="0" fontId="83" fillId="0" borderId="132" xfId="15" applyFont="1" applyBorder="1" applyAlignment="1">
      <alignment vertical="center" wrapText="1"/>
    </xf>
    <xf numFmtId="49" fontId="77" fillId="0" borderId="173" xfId="15" applyNumberFormat="1" applyFont="1" applyBorder="1" applyAlignment="1">
      <alignment horizontal="center" vertical="center" wrapText="1"/>
    </xf>
    <xf numFmtId="49" fontId="8" fillId="13" borderId="65" xfId="15" applyNumberFormat="1" applyFont="1" applyFill="1" applyBorder="1" applyAlignment="1">
      <alignment horizontal="left" vertical="center" wrapText="1"/>
    </xf>
    <xf numFmtId="49" fontId="9" fillId="20" borderId="4" xfId="15" applyNumberFormat="1" applyFont="1" applyFill="1" applyBorder="1" applyAlignment="1">
      <alignment horizontal="center" vertical="center" wrapText="1"/>
    </xf>
    <xf numFmtId="0" fontId="8" fillId="13" borderId="11" xfId="15" quotePrefix="1" applyFont="1" applyFill="1" applyBorder="1" applyAlignment="1">
      <alignment horizontal="left" vertical="center" wrapText="1"/>
    </xf>
    <xf numFmtId="0" fontId="83" fillId="0" borderId="174" xfId="15" applyFont="1" applyBorder="1" applyAlignment="1">
      <alignment vertical="center" wrapText="1"/>
    </xf>
    <xf numFmtId="0" fontId="83" fillId="0" borderId="14" xfId="15" applyFont="1" applyBorder="1" applyAlignment="1">
      <alignment vertical="center" wrapText="1"/>
    </xf>
    <xf numFmtId="0" fontId="77" fillId="0" borderId="14" xfId="15" applyFont="1" applyBorder="1" applyAlignment="1">
      <alignment horizontal="center" vertical="center" wrapText="1"/>
    </xf>
    <xf numFmtId="3" fontId="35" fillId="0" borderId="7" xfId="15" applyNumberFormat="1" applyFont="1" applyFill="1" applyBorder="1" applyAlignment="1">
      <alignment horizontal="right" vertical="center"/>
    </xf>
    <xf numFmtId="49" fontId="12" fillId="4" borderId="4" xfId="15" applyNumberFormat="1" applyFont="1" applyFill="1" applyBorder="1" applyAlignment="1">
      <alignment horizontal="center" vertical="center" wrapText="1"/>
    </xf>
    <xf numFmtId="49" fontId="12" fillId="4" borderId="20" xfId="15" applyNumberFormat="1" applyFont="1" applyFill="1" applyBorder="1" applyAlignment="1">
      <alignment horizontal="center" vertical="center" wrapText="1"/>
    </xf>
    <xf numFmtId="49" fontId="37" fillId="4" borderId="29" xfId="15" applyNumberFormat="1" applyFont="1" applyFill="1" applyBorder="1" applyAlignment="1">
      <alignment horizontal="left" vertical="center" wrapText="1"/>
    </xf>
    <xf numFmtId="49" fontId="12" fillId="4" borderId="183" xfId="15" applyNumberFormat="1" applyFont="1" applyFill="1" applyBorder="1" applyAlignment="1">
      <alignment horizontal="left" vertical="center" wrapText="1"/>
    </xf>
    <xf numFmtId="0" fontId="33" fillId="0" borderId="0" xfId="15" applyFont="1"/>
    <xf numFmtId="49" fontId="9" fillId="20" borderId="12" xfId="15" applyNumberFormat="1" applyFont="1" applyFill="1" applyBorder="1" applyAlignment="1">
      <alignment horizontal="center" vertical="center" wrapText="1"/>
    </xf>
    <xf numFmtId="0" fontId="77" fillId="0" borderId="34" xfId="15" applyFont="1" applyBorder="1" applyAlignment="1">
      <alignment horizontal="center" vertical="center" wrapText="1"/>
    </xf>
    <xf numFmtId="0" fontId="83" fillId="0" borderId="181" xfId="15" applyFont="1" applyBorder="1" applyAlignment="1">
      <alignment vertical="center" wrapText="1"/>
    </xf>
    <xf numFmtId="3" fontId="80" fillId="13" borderId="182" xfId="15" applyNumberFormat="1" applyFont="1" applyFill="1" applyBorder="1" applyAlignment="1">
      <alignment horizontal="right" vertical="center"/>
    </xf>
    <xf numFmtId="49" fontId="12" fillId="4" borderId="12" xfId="15" applyNumberFormat="1" applyFont="1" applyFill="1" applyBorder="1" applyAlignment="1">
      <alignment horizontal="center" vertical="center" wrapText="1"/>
    </xf>
    <xf numFmtId="49" fontId="37" fillId="4" borderId="9" xfId="15" applyNumberFormat="1" applyFont="1" applyFill="1" applyBorder="1" applyAlignment="1">
      <alignment horizontal="left" vertical="center" wrapText="1"/>
    </xf>
    <xf numFmtId="49" fontId="12" fillId="4" borderId="9" xfId="15" applyNumberFormat="1" applyFont="1" applyFill="1" applyBorder="1" applyAlignment="1">
      <alignment horizontal="left" vertical="center" wrapText="1"/>
    </xf>
    <xf numFmtId="3" fontId="78" fillId="4" borderId="4" xfId="15" applyNumberFormat="1" applyFont="1" applyFill="1" applyBorder="1" applyAlignment="1">
      <alignment horizontal="right" vertical="center"/>
    </xf>
    <xf numFmtId="49" fontId="9" fillId="20" borderId="10" xfId="15" applyNumberFormat="1" applyFont="1" applyFill="1" applyBorder="1" applyAlignment="1">
      <alignment horizontal="center" vertical="center" wrapText="1"/>
    </xf>
    <xf numFmtId="0" fontId="79" fillId="20" borderId="19" xfId="15" applyFont="1" applyFill="1" applyBorder="1" applyAlignment="1">
      <alignment vertical="center" wrapText="1"/>
    </xf>
    <xf numFmtId="0" fontId="9" fillId="20" borderId="11" xfId="15" applyFont="1" applyFill="1" applyBorder="1" applyAlignment="1">
      <alignment vertical="center" wrapText="1"/>
    </xf>
    <xf numFmtId="0" fontId="8" fillId="0" borderId="0" xfId="15" applyFont="1" applyFill="1" applyBorder="1" applyAlignment="1">
      <alignment horizontal="center" vertical="center" wrapText="1"/>
    </xf>
    <xf numFmtId="0" fontId="83" fillId="0" borderId="17" xfId="15" applyFont="1" applyBorder="1" applyAlignment="1">
      <alignment vertical="center" wrapText="1"/>
    </xf>
    <xf numFmtId="0" fontId="77" fillId="0" borderId="6" xfId="15" applyFont="1" applyBorder="1" applyAlignment="1">
      <alignment horizontal="center" vertical="center" wrapText="1"/>
    </xf>
    <xf numFmtId="0" fontId="8" fillId="13" borderId="65" xfId="15" quotePrefix="1" applyFont="1" applyFill="1" applyBorder="1" applyAlignment="1">
      <alignment horizontal="left" vertical="center" wrapText="1"/>
    </xf>
    <xf numFmtId="0" fontId="12" fillId="4" borderId="4" xfId="15" applyFont="1" applyFill="1" applyBorder="1" applyAlignment="1">
      <alignment horizontal="center" vertical="center" wrapText="1"/>
    </xf>
    <xf numFmtId="0" fontId="12" fillId="4" borderId="12" xfId="15" applyFont="1" applyFill="1" applyBorder="1" applyAlignment="1">
      <alignment horizontal="center" vertical="center" wrapText="1"/>
    </xf>
    <xf numFmtId="0" fontId="37" fillId="4" borderId="4" xfId="15" applyFont="1" applyFill="1" applyBorder="1" applyAlignment="1">
      <alignment vertical="center" wrapText="1"/>
    </xf>
    <xf numFmtId="0" fontId="81" fillId="20" borderId="12" xfId="15" applyFont="1" applyFill="1" applyBorder="1" applyAlignment="1">
      <alignment horizontal="center" vertical="center" wrapText="1"/>
    </xf>
    <xf numFmtId="0" fontId="8" fillId="13" borderId="8" xfId="15" quotePrefix="1" applyFont="1" applyFill="1" applyBorder="1" applyAlignment="1">
      <alignment horizontal="left" vertical="center" wrapText="1"/>
    </xf>
    <xf numFmtId="0" fontId="32" fillId="0" borderId="162" xfId="15" applyFont="1" applyBorder="1" applyAlignment="1">
      <alignment vertical="center"/>
    </xf>
    <xf numFmtId="49" fontId="32" fillId="0" borderId="18" xfId="15" applyNumberFormat="1" applyFont="1" applyBorder="1" applyAlignment="1">
      <alignment horizontal="center" vertical="center"/>
    </xf>
    <xf numFmtId="3" fontId="35" fillId="0" borderId="18" xfId="15" applyNumberFormat="1" applyFont="1" applyFill="1" applyBorder="1" applyAlignment="1">
      <alignment horizontal="right" vertical="center"/>
    </xf>
    <xf numFmtId="0" fontId="32" fillId="0" borderId="132" xfId="15" applyFont="1" applyBorder="1" applyAlignment="1">
      <alignment horizontal="left" vertical="center" wrapText="1"/>
    </xf>
    <xf numFmtId="49" fontId="77" fillId="0" borderId="182" xfId="15" applyNumberFormat="1" applyFont="1" applyBorder="1" applyAlignment="1">
      <alignment horizontal="center" vertical="center" wrapText="1"/>
    </xf>
    <xf numFmtId="3" fontId="33" fillId="0" borderId="0" xfId="15" applyNumberFormat="1"/>
    <xf numFmtId="0" fontId="32" fillId="0" borderId="5" xfId="15" applyFont="1" applyBorder="1" applyAlignment="1">
      <alignment vertical="center" wrapText="1"/>
    </xf>
    <xf numFmtId="49" fontId="7" fillId="0" borderId="182" xfId="15" applyNumberFormat="1" applyFont="1" applyFill="1" applyBorder="1" applyAlignment="1">
      <alignment horizontal="center" vertical="center" wrapText="1"/>
    </xf>
    <xf numFmtId="3" fontId="35" fillId="0" borderId="182" xfId="15" applyNumberFormat="1" applyFont="1" applyFill="1" applyBorder="1" applyAlignment="1">
      <alignment horizontal="right" vertical="center"/>
    </xf>
    <xf numFmtId="0" fontId="8" fillId="13" borderId="7" xfId="15" applyFont="1" applyFill="1" applyBorder="1" applyAlignment="1">
      <alignment horizontal="left" vertical="center" wrapText="1"/>
    </xf>
    <xf numFmtId="0" fontId="9" fillId="20" borderId="12" xfId="15" applyFont="1" applyFill="1" applyBorder="1" applyAlignment="1">
      <alignment horizontal="center" vertical="center" wrapText="1"/>
    </xf>
    <xf numFmtId="0" fontId="79" fillId="20" borderId="9" xfId="15" applyFont="1" applyFill="1" applyBorder="1" applyAlignment="1">
      <alignment vertical="center" wrapText="1"/>
    </xf>
    <xf numFmtId="0" fontId="8" fillId="6" borderId="17" xfId="15" applyFont="1" applyFill="1" applyBorder="1" applyAlignment="1">
      <alignment horizontal="center" vertical="center" wrapText="1"/>
    </xf>
    <xf numFmtId="49" fontId="77" fillId="0" borderId="174" xfId="15" applyNumberFormat="1" applyFont="1" applyBorder="1" applyAlignment="1">
      <alignment horizontal="center" vertical="center" wrapText="1"/>
    </xf>
    <xf numFmtId="0" fontId="8" fillId="13" borderId="173" xfId="15" quotePrefix="1" applyFont="1" applyFill="1" applyBorder="1" applyAlignment="1">
      <alignment horizontal="left" vertical="center" wrapText="1"/>
    </xf>
    <xf numFmtId="0" fontId="81" fillId="20" borderId="4" xfId="15" applyFont="1" applyFill="1" applyBorder="1" applyAlignment="1">
      <alignment horizontal="center" vertical="center" wrapText="1"/>
    </xf>
    <xf numFmtId="0" fontId="83" fillId="6" borderId="162" xfId="15" applyFont="1" applyFill="1" applyBorder="1" applyAlignment="1">
      <alignment horizontal="left" vertical="center" wrapText="1"/>
    </xf>
    <xf numFmtId="0" fontId="77" fillId="0" borderId="184" xfId="15" applyFont="1" applyBorder="1" applyAlignment="1">
      <alignment vertical="center" wrapText="1"/>
    </xf>
    <xf numFmtId="0" fontId="77" fillId="0" borderId="182" xfId="15" applyFont="1" applyBorder="1" applyAlignment="1">
      <alignment horizontal="center" vertical="center" wrapText="1"/>
    </xf>
    <xf numFmtId="0" fontId="77" fillId="0" borderId="174" xfId="15" applyFont="1" applyBorder="1" applyAlignment="1">
      <alignment vertical="center" wrapText="1"/>
    </xf>
    <xf numFmtId="0" fontId="83" fillId="0" borderId="182" xfId="15" applyFont="1" applyBorder="1" applyAlignment="1">
      <alignment vertical="center" wrapText="1"/>
    </xf>
    <xf numFmtId="0" fontId="9" fillId="20" borderId="13" xfId="15" applyFont="1" applyFill="1" applyBorder="1" applyAlignment="1">
      <alignment horizontal="center" vertical="center" wrapText="1"/>
    </xf>
    <xf numFmtId="0" fontId="79" fillId="20" borderId="4" xfId="15" applyFont="1" applyFill="1" applyBorder="1" applyAlignment="1">
      <alignment horizontal="left" vertical="center" wrapText="1"/>
    </xf>
    <xf numFmtId="0" fontId="7" fillId="20" borderId="9" xfId="15" quotePrefix="1" applyFont="1" applyFill="1" applyBorder="1" applyAlignment="1">
      <alignment horizontal="center" vertical="center" wrapText="1"/>
    </xf>
    <xf numFmtId="3" fontId="78" fillId="20" borderId="4" xfId="15" applyNumberFormat="1" applyFont="1" applyFill="1" applyBorder="1" applyAlignment="1">
      <alignment horizontal="right" vertical="center"/>
    </xf>
    <xf numFmtId="0" fontId="7" fillId="13" borderId="11" xfId="15" quotePrefix="1" applyFont="1" applyFill="1" applyBorder="1" applyAlignment="1">
      <alignment horizontal="center" vertical="center" wrapText="1"/>
    </xf>
    <xf numFmtId="3" fontId="35" fillId="13" borderId="19" xfId="15" applyNumberFormat="1" applyFont="1" applyFill="1" applyBorder="1" applyAlignment="1">
      <alignment horizontal="right" vertical="center"/>
    </xf>
    <xf numFmtId="0" fontId="32" fillId="6" borderId="34" xfId="15" applyFont="1" applyFill="1" applyBorder="1" applyAlignment="1">
      <alignment horizontal="left" vertical="center" wrapText="1"/>
    </xf>
    <xf numFmtId="49" fontId="7" fillId="6" borderId="174" xfId="15" applyNumberFormat="1" applyFont="1" applyFill="1" applyBorder="1" applyAlignment="1">
      <alignment horizontal="center" vertical="center" wrapText="1"/>
    </xf>
    <xf numFmtId="0" fontId="32" fillId="6" borderId="17" xfId="15" applyFont="1" applyFill="1" applyBorder="1" applyAlignment="1">
      <alignment horizontal="left" vertical="center" wrapText="1"/>
    </xf>
    <xf numFmtId="0" fontId="7" fillId="6" borderId="6" xfId="15" quotePrefix="1" applyFont="1" applyFill="1" applyBorder="1" applyAlignment="1">
      <alignment horizontal="center" vertical="center" wrapText="1"/>
    </xf>
    <xf numFmtId="0" fontId="32" fillId="6" borderId="182" xfId="15" applyFont="1" applyFill="1" applyBorder="1" applyAlignment="1">
      <alignment horizontal="left" vertical="center" wrapText="1"/>
    </xf>
    <xf numFmtId="0" fontId="7" fillId="6" borderId="184" xfId="15" quotePrefix="1" applyFont="1" applyFill="1" applyBorder="1" applyAlignment="1">
      <alignment horizontal="center" vertical="center" wrapText="1"/>
    </xf>
    <xf numFmtId="0" fontId="7" fillId="13" borderId="65" xfId="15" quotePrefix="1" applyFont="1" applyFill="1" applyBorder="1" applyAlignment="1">
      <alignment horizontal="center" vertical="center" wrapText="1"/>
    </xf>
    <xf numFmtId="0" fontId="84" fillId="4" borderId="4" xfId="15" applyFont="1" applyFill="1" applyBorder="1" applyAlignment="1">
      <alignment horizontal="center" vertical="center" wrapText="1"/>
    </xf>
    <xf numFmtId="0" fontId="84" fillId="4" borderId="12" xfId="15" applyFont="1" applyFill="1" applyBorder="1" applyAlignment="1">
      <alignment horizontal="center" vertical="center" wrapText="1"/>
    </xf>
    <xf numFmtId="0" fontId="85" fillId="4" borderId="4" xfId="15" applyFont="1" applyFill="1" applyBorder="1" applyAlignment="1">
      <alignment vertical="center" wrapText="1"/>
    </xf>
    <xf numFmtId="0" fontId="84" fillId="4" borderId="183" xfId="15" applyFont="1" applyFill="1" applyBorder="1" applyAlignment="1">
      <alignment vertical="center" wrapText="1"/>
    </xf>
    <xf numFmtId="3" fontId="80" fillId="13" borderId="18" xfId="15" applyNumberFormat="1" applyFont="1" applyFill="1" applyBorder="1" applyAlignment="1">
      <alignment horizontal="right" vertical="center"/>
    </xf>
    <xf numFmtId="0" fontId="83" fillId="0" borderId="118" xfId="15" applyFont="1" applyBorder="1" applyAlignment="1">
      <alignment vertical="center" wrapText="1"/>
    </xf>
    <xf numFmtId="0" fontId="83" fillId="0" borderId="180" xfId="15" applyFont="1" applyBorder="1" applyAlignment="1">
      <alignment vertical="center" wrapText="1"/>
    </xf>
    <xf numFmtId="0" fontId="83" fillId="0" borderId="34" xfId="15" applyFont="1" applyBorder="1" applyAlignment="1">
      <alignment vertical="center" wrapText="1"/>
    </xf>
    <xf numFmtId="49" fontId="7" fillId="6" borderId="6" xfId="15" quotePrefix="1" applyNumberFormat="1" applyFont="1" applyFill="1" applyBorder="1" applyAlignment="1">
      <alignment horizontal="center" vertical="center" wrapText="1"/>
    </xf>
    <xf numFmtId="0" fontId="33" fillId="6" borderId="0" xfId="15" applyFill="1"/>
    <xf numFmtId="0" fontId="83" fillId="0" borderId="0" xfId="15" applyFont="1" applyBorder="1" applyAlignment="1">
      <alignment vertical="center" wrapText="1"/>
    </xf>
    <xf numFmtId="0" fontId="83" fillId="0" borderId="186" xfId="15" applyFont="1" applyBorder="1" applyAlignment="1">
      <alignment vertical="center" wrapText="1"/>
    </xf>
    <xf numFmtId="0" fontId="81" fillId="4" borderId="4" xfId="15" applyFont="1" applyFill="1" applyBorder="1" applyAlignment="1">
      <alignment horizontal="center" vertical="center" wrapText="1"/>
    </xf>
    <xf numFmtId="0" fontId="84" fillId="4" borderId="9" xfId="15" applyFont="1" applyFill="1" applyBorder="1" applyAlignment="1">
      <alignment vertical="center" wrapText="1"/>
    </xf>
    <xf numFmtId="49" fontId="77" fillId="0" borderId="6" xfId="15" applyNumberFormat="1" applyFont="1" applyBorder="1" applyAlignment="1">
      <alignment horizontal="center" vertical="center" wrapText="1"/>
    </xf>
    <xf numFmtId="3" fontId="80" fillId="13" borderId="14" xfId="15" applyNumberFormat="1" applyFont="1" applyFill="1" applyBorder="1" applyAlignment="1">
      <alignment horizontal="right" vertical="center"/>
    </xf>
    <xf numFmtId="0" fontId="8" fillId="0" borderId="180" xfId="15" applyFont="1" applyFill="1" applyBorder="1" applyAlignment="1">
      <alignment horizontal="center" vertical="center" wrapText="1"/>
    </xf>
    <xf numFmtId="0" fontId="7" fillId="0" borderId="173" xfId="15" quotePrefix="1" applyFont="1" applyFill="1" applyBorder="1" applyAlignment="1">
      <alignment horizontal="center" vertical="center" wrapText="1"/>
    </xf>
    <xf numFmtId="0" fontId="81" fillId="20" borderId="9" xfId="15" applyFont="1" applyFill="1" applyBorder="1" applyAlignment="1">
      <alignment horizontal="center" vertical="center" wrapText="1"/>
    </xf>
    <xf numFmtId="49" fontId="86" fillId="13" borderId="6" xfId="15" applyNumberFormat="1" applyFont="1" applyFill="1" applyBorder="1" applyAlignment="1">
      <alignment vertical="center" wrapText="1"/>
    </xf>
    <xf numFmtId="0" fontId="81" fillId="0" borderId="5" xfId="15" applyFont="1" applyBorder="1" applyAlignment="1">
      <alignment horizontal="center" vertical="center" wrapText="1"/>
    </xf>
    <xf numFmtId="0" fontId="8" fillId="13" borderId="174" xfId="15" quotePrefix="1" applyFont="1" applyFill="1" applyBorder="1" applyAlignment="1">
      <alignment horizontal="center" vertical="center" wrapText="1"/>
    </xf>
    <xf numFmtId="0" fontId="8" fillId="0" borderId="14" xfId="15" applyFont="1" applyBorder="1" applyAlignment="1">
      <alignment horizontal="center" vertical="center" wrapText="1"/>
    </xf>
    <xf numFmtId="0" fontId="32" fillId="0" borderId="29" xfId="15" applyFont="1" applyBorder="1" applyAlignment="1">
      <alignment horizontal="left" vertical="center" wrapText="1"/>
    </xf>
    <xf numFmtId="0" fontId="7" fillId="0" borderId="183" xfId="15" applyFont="1" applyBorder="1" applyAlignment="1">
      <alignment horizontal="center" vertical="center" wrapText="1"/>
    </xf>
    <xf numFmtId="0" fontId="12" fillId="4" borderId="4" xfId="15" applyFont="1" applyFill="1" applyBorder="1" applyAlignment="1">
      <alignment vertical="center" wrapText="1"/>
    </xf>
    <xf numFmtId="0" fontId="37" fillId="4" borderId="12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horizontal="left" vertical="center" wrapText="1"/>
    </xf>
    <xf numFmtId="0" fontId="36" fillId="0" borderId="0" xfId="15" applyFont="1"/>
    <xf numFmtId="0" fontId="81" fillId="20" borderId="20" xfId="15" applyFont="1" applyFill="1" applyBorder="1" applyAlignment="1">
      <alignment horizontal="center" vertical="center" wrapText="1"/>
    </xf>
    <xf numFmtId="0" fontId="32" fillId="0" borderId="162" xfId="15" applyFont="1" applyBorder="1" applyAlignment="1">
      <alignment horizontal="left" vertical="center" wrapText="1"/>
    </xf>
    <xf numFmtId="49" fontId="7" fillId="0" borderId="17" xfId="15" applyNumberFormat="1" applyFont="1" applyBorder="1" applyAlignment="1">
      <alignment horizontal="center" vertical="center" wrapText="1"/>
    </xf>
    <xf numFmtId="49" fontId="8" fillId="13" borderId="174" xfId="15" quotePrefix="1" applyNumberFormat="1" applyFont="1" applyFill="1" applyBorder="1" applyAlignment="1">
      <alignment horizontal="center" vertical="center" wrapText="1"/>
    </xf>
    <xf numFmtId="0" fontId="81" fillId="4" borderId="12" xfId="15" applyFont="1" applyFill="1" applyBorder="1" applyAlignment="1">
      <alignment horizontal="center" vertical="center" wrapText="1"/>
    </xf>
    <xf numFmtId="0" fontId="85" fillId="4" borderId="13" xfId="15" applyFont="1" applyFill="1" applyBorder="1" applyAlignment="1">
      <alignment vertical="center" wrapText="1"/>
    </xf>
    <xf numFmtId="3" fontId="78" fillId="3" borderId="19" xfId="15" applyNumberFormat="1" applyFont="1" applyFill="1" applyBorder="1" applyAlignment="1">
      <alignment horizontal="right" vertical="center"/>
    </xf>
    <xf numFmtId="0" fontId="82" fillId="20" borderId="13" xfId="15" applyFont="1" applyFill="1" applyBorder="1" applyAlignment="1">
      <alignment vertical="center" wrapText="1"/>
    </xf>
    <xf numFmtId="0" fontId="81" fillId="0" borderId="182" xfId="15" applyFont="1" applyBorder="1" applyAlignment="1">
      <alignment horizontal="center" vertical="center" wrapText="1"/>
    </xf>
    <xf numFmtId="0" fontId="83" fillId="0" borderId="162" xfId="15" applyFont="1" applyBorder="1" applyAlignment="1">
      <alignment vertical="center" wrapText="1"/>
    </xf>
    <xf numFmtId="0" fontId="77" fillId="0" borderId="173" xfId="15" applyFont="1" applyBorder="1" applyAlignment="1">
      <alignment horizontal="center" vertical="center" wrapText="1"/>
    </xf>
    <xf numFmtId="0" fontId="77" fillId="0" borderId="17" xfId="15" applyFont="1" applyBorder="1" applyAlignment="1">
      <alignment horizontal="center" vertical="center" wrapText="1"/>
    </xf>
    <xf numFmtId="0" fontId="9" fillId="20" borderId="4" xfId="15" applyFont="1" applyFill="1" applyBorder="1" applyAlignment="1">
      <alignment horizontal="center" vertical="center" wrapText="1"/>
    </xf>
    <xf numFmtId="0" fontId="79" fillId="20" borderId="29" xfId="15" quotePrefix="1" applyFont="1" applyFill="1" applyBorder="1" applyAlignment="1">
      <alignment horizontal="left" vertical="center" wrapText="1"/>
    </xf>
    <xf numFmtId="0" fontId="8" fillId="20" borderId="183" xfId="15" quotePrefix="1" applyFont="1" applyFill="1" applyBorder="1" applyAlignment="1">
      <alignment horizontal="left" vertical="center" wrapText="1"/>
    </xf>
    <xf numFmtId="0" fontId="8" fillId="6" borderId="18" xfId="15" applyFont="1" applyFill="1" applyBorder="1" applyAlignment="1">
      <alignment horizontal="center" vertical="center" wrapText="1"/>
    </xf>
    <xf numFmtId="0" fontId="32" fillId="6" borderId="18" xfId="15" quotePrefix="1" applyFont="1" applyFill="1" applyBorder="1" applyAlignment="1">
      <alignment horizontal="left" vertical="center" wrapText="1"/>
    </xf>
    <xf numFmtId="0" fontId="8" fillId="13" borderId="73" xfId="15" quotePrefix="1" applyFont="1" applyFill="1" applyBorder="1" applyAlignment="1">
      <alignment horizontal="left" vertical="center" wrapText="1"/>
    </xf>
    <xf numFmtId="0" fontId="79" fillId="20" borderId="4" xfId="15" quotePrefix="1" applyFont="1" applyFill="1" applyBorder="1" applyAlignment="1">
      <alignment horizontal="left" vertical="center" wrapText="1"/>
    </xf>
    <xf numFmtId="0" fontId="8" fillId="20" borderId="13" xfId="15" quotePrefix="1" applyFont="1" applyFill="1" applyBorder="1" applyAlignment="1">
      <alignment horizontal="left" vertical="center" wrapText="1"/>
    </xf>
    <xf numFmtId="0" fontId="9" fillId="6" borderId="182" xfId="15" applyFont="1" applyFill="1" applyBorder="1" applyAlignment="1">
      <alignment horizontal="center" vertical="center" wrapText="1"/>
    </xf>
    <xf numFmtId="0" fontId="32" fillId="6" borderId="0" xfId="15" quotePrefix="1" applyFont="1" applyFill="1" applyBorder="1" applyAlignment="1">
      <alignment horizontal="left" vertical="center" wrapText="1"/>
    </xf>
    <xf numFmtId="0" fontId="7" fillId="6" borderId="182" xfId="15" quotePrefix="1" applyFont="1" applyFill="1" applyBorder="1" applyAlignment="1">
      <alignment horizontal="center" vertical="center" wrapText="1"/>
    </xf>
    <xf numFmtId="0" fontId="32" fillId="0" borderId="184" xfId="15" applyFont="1" applyBorder="1" applyAlignment="1">
      <alignment wrapText="1"/>
    </xf>
    <xf numFmtId="0" fontId="32" fillId="0" borderId="7" xfId="15" applyFont="1" applyBorder="1" applyAlignment="1">
      <alignment wrapText="1"/>
    </xf>
    <xf numFmtId="3" fontId="35" fillId="0" borderId="14" xfId="15" applyNumberFormat="1" applyFont="1" applyFill="1" applyBorder="1" applyAlignment="1">
      <alignment horizontal="right" vertical="center"/>
    </xf>
    <xf numFmtId="0" fontId="32" fillId="6" borderId="5" xfId="15" quotePrefix="1" applyFont="1" applyFill="1" applyBorder="1" applyAlignment="1">
      <alignment horizontal="left" vertical="center" wrapText="1"/>
    </xf>
    <xf numFmtId="0" fontId="32" fillId="6" borderId="182" xfId="15" quotePrefix="1" applyFont="1" applyFill="1" applyBorder="1" applyAlignment="1">
      <alignment vertical="center" wrapText="1"/>
    </xf>
    <xf numFmtId="0" fontId="7" fillId="6" borderId="18" xfId="15" quotePrefix="1" applyFont="1" applyFill="1" applyBorder="1" applyAlignment="1">
      <alignment horizontal="center" vertical="center" wrapText="1"/>
    </xf>
    <xf numFmtId="0" fontId="8" fillId="13" borderId="34" xfId="15" quotePrefix="1" applyFont="1" applyFill="1" applyBorder="1" applyAlignment="1">
      <alignment horizontal="left" vertical="center" wrapText="1"/>
    </xf>
    <xf numFmtId="0" fontId="77" fillId="6" borderId="17" xfId="15" applyFont="1" applyFill="1" applyBorder="1" applyAlignment="1">
      <alignment horizontal="center" vertical="center" wrapText="1"/>
    </xf>
    <xf numFmtId="0" fontId="32" fillId="6" borderId="34" xfId="15" quotePrefix="1" applyFont="1" applyFill="1" applyBorder="1" applyAlignment="1">
      <alignment vertical="center" wrapText="1"/>
    </xf>
    <xf numFmtId="0" fontId="7" fillId="0" borderId="174" xfId="15" quotePrefix="1" applyFont="1" applyBorder="1" applyAlignment="1">
      <alignment horizontal="center" vertical="center" wrapText="1"/>
    </xf>
    <xf numFmtId="0" fontId="32" fillId="6" borderId="17" xfId="15" quotePrefix="1" applyFont="1" applyFill="1" applyBorder="1" applyAlignment="1">
      <alignment vertical="center" wrapText="1"/>
    </xf>
    <xf numFmtId="0" fontId="7" fillId="0" borderId="6" xfId="15" quotePrefix="1" applyFont="1" applyBorder="1" applyAlignment="1">
      <alignment horizontal="center" vertical="center" wrapText="1"/>
    </xf>
    <xf numFmtId="0" fontId="8" fillId="13" borderId="173" xfId="15" applyFont="1" applyFill="1" applyBorder="1" applyAlignment="1">
      <alignment horizontal="left" vertical="center" wrapText="1"/>
    </xf>
    <xf numFmtId="0" fontId="81" fillId="0" borderId="118" xfId="15" applyFont="1" applyBorder="1" applyAlignment="1">
      <alignment horizontal="center" vertical="center" wrapText="1"/>
    </xf>
    <xf numFmtId="0" fontId="8" fillId="13" borderId="177" xfId="15" applyFont="1" applyFill="1" applyBorder="1" applyAlignment="1">
      <alignment horizontal="left" vertical="center" wrapText="1"/>
    </xf>
    <xf numFmtId="0" fontId="83" fillId="6" borderId="0" xfId="15" applyFont="1" applyFill="1" applyBorder="1" applyAlignment="1">
      <alignment vertical="center" wrapText="1"/>
    </xf>
    <xf numFmtId="0" fontId="84" fillId="4" borderId="4" xfId="1" applyFont="1" applyFill="1" applyBorder="1" applyAlignment="1">
      <alignment horizontal="center" vertical="center" wrapText="1"/>
    </xf>
    <xf numFmtId="0" fontId="84" fillId="4" borderId="12" xfId="1" applyFont="1" applyFill="1" applyBorder="1" applyAlignment="1">
      <alignment horizontal="center" vertical="center" wrapText="1"/>
    </xf>
    <xf numFmtId="0" fontId="85" fillId="4" borderId="4" xfId="1" applyFont="1" applyFill="1" applyBorder="1" applyAlignment="1">
      <alignment vertical="center" wrapText="1"/>
    </xf>
    <xf numFmtId="0" fontId="87" fillId="4" borderId="9" xfId="1" applyFont="1" applyFill="1" applyBorder="1" applyAlignment="1">
      <alignment vertical="center" wrapText="1"/>
    </xf>
    <xf numFmtId="0" fontId="81" fillId="20" borderId="12" xfId="1" applyFont="1" applyFill="1" applyBorder="1" applyAlignment="1">
      <alignment horizontal="center" vertical="center" wrapText="1"/>
    </xf>
    <xf numFmtId="0" fontId="82" fillId="20" borderId="4" xfId="1" applyFont="1" applyFill="1" applyBorder="1" applyAlignment="1">
      <alignment vertical="center" wrapText="1"/>
    </xf>
    <xf numFmtId="0" fontId="88" fillId="20" borderId="9" xfId="1" applyFont="1" applyFill="1" applyBorder="1" applyAlignment="1">
      <alignment vertical="center" wrapText="1"/>
    </xf>
    <xf numFmtId="0" fontId="8" fillId="13" borderId="173" xfId="1" applyFont="1" applyFill="1" applyBorder="1" applyAlignment="1">
      <alignment horizontal="left" vertical="center" wrapText="1"/>
    </xf>
    <xf numFmtId="0" fontId="81" fillId="6" borderId="118" xfId="1" applyFont="1" applyFill="1" applyBorder="1" applyAlignment="1">
      <alignment horizontal="center" vertical="center" wrapText="1"/>
    </xf>
    <xf numFmtId="0" fontId="83" fillId="6" borderId="132" xfId="1" applyFont="1" applyFill="1" applyBorder="1" applyAlignment="1">
      <alignment vertical="center" wrapText="1"/>
    </xf>
    <xf numFmtId="0" fontId="89" fillId="6" borderId="174" xfId="1" applyFont="1" applyFill="1" applyBorder="1" applyAlignment="1">
      <alignment horizontal="center" vertical="center" wrapText="1"/>
    </xf>
    <xf numFmtId="0" fontId="8" fillId="13" borderId="184" xfId="1" applyFont="1" applyFill="1" applyBorder="1" applyAlignment="1">
      <alignment horizontal="left" vertical="center" wrapText="1"/>
    </xf>
    <xf numFmtId="49" fontId="89" fillId="6" borderId="174" xfId="1" applyNumberFormat="1" applyFont="1" applyFill="1" applyBorder="1" applyAlignment="1">
      <alignment horizontal="center" vertical="center" wrapText="1"/>
    </xf>
    <xf numFmtId="0" fontId="8" fillId="13" borderId="6" xfId="1" applyFont="1" applyFill="1" applyBorder="1" applyAlignment="1">
      <alignment horizontal="left" vertical="center" wrapText="1"/>
    </xf>
    <xf numFmtId="0" fontId="83" fillId="6" borderId="174" xfId="1" applyFont="1" applyFill="1" applyBorder="1" applyAlignment="1">
      <alignment vertical="center" wrapText="1"/>
    </xf>
    <xf numFmtId="0" fontId="81" fillId="20" borderId="4" xfId="1" applyFont="1" applyFill="1" applyBorder="1" applyAlignment="1">
      <alignment horizontal="center" vertical="center" wrapText="1"/>
    </xf>
    <xf numFmtId="0" fontId="8" fillId="13" borderId="177" xfId="1" applyFont="1" applyFill="1" applyBorder="1" applyAlignment="1">
      <alignment horizontal="left" vertical="center" wrapText="1"/>
    </xf>
    <xf numFmtId="0" fontId="90" fillId="13" borderId="6" xfId="1" applyFont="1" applyFill="1" applyBorder="1" applyAlignment="1">
      <alignment horizontal="left" vertical="center" wrapText="1"/>
    </xf>
    <xf numFmtId="0" fontId="90" fillId="6" borderId="17" xfId="1" applyFont="1" applyFill="1" applyBorder="1" applyAlignment="1">
      <alignment horizontal="center" vertical="center" wrapText="1"/>
    </xf>
    <xf numFmtId="0" fontId="32" fillId="6" borderId="65" xfId="1" applyFont="1" applyFill="1" applyBorder="1" applyAlignment="1">
      <alignment horizontal="left" vertical="center" wrapText="1"/>
    </xf>
    <xf numFmtId="0" fontId="32" fillId="6" borderId="7" xfId="1" applyFont="1" applyFill="1" applyBorder="1" applyAlignment="1">
      <alignment horizontal="center" vertical="center" wrapText="1"/>
    </xf>
    <xf numFmtId="0" fontId="82" fillId="20" borderId="12" xfId="1" applyFont="1" applyFill="1" applyBorder="1" applyAlignment="1">
      <alignment horizontal="center" vertical="center" wrapText="1"/>
    </xf>
    <xf numFmtId="0" fontId="82" fillId="20" borderId="9" xfId="1" applyFont="1" applyFill="1" applyBorder="1" applyAlignment="1">
      <alignment vertical="center" wrapText="1"/>
    </xf>
    <xf numFmtId="0" fontId="32" fillId="6" borderId="174" xfId="1" applyFont="1" applyFill="1" applyBorder="1" applyAlignment="1">
      <alignment horizontal="center" vertical="center" wrapText="1"/>
    </xf>
    <xf numFmtId="0" fontId="32" fillId="6" borderId="34" xfId="1" applyFont="1" applyFill="1" applyBorder="1" applyAlignment="1">
      <alignment horizontal="center" vertical="center" wrapText="1"/>
    </xf>
    <xf numFmtId="0" fontId="90" fillId="13" borderId="34" xfId="1" applyFont="1" applyFill="1" applyBorder="1" applyAlignment="1">
      <alignment horizontal="center" vertical="center" wrapText="1"/>
    </xf>
    <xf numFmtId="0" fontId="90" fillId="6" borderId="182" xfId="1" applyFont="1" applyFill="1" applyBorder="1" applyAlignment="1">
      <alignment horizontal="left" vertical="center" wrapText="1"/>
    </xf>
    <xf numFmtId="0" fontId="32" fillId="6" borderId="132" xfId="1" applyFont="1" applyFill="1" applyBorder="1" applyAlignment="1">
      <alignment horizontal="left" vertical="center" wrapText="1"/>
    </xf>
    <xf numFmtId="0" fontId="7" fillId="6" borderId="0" xfId="1" applyFont="1" applyFill="1" applyBorder="1" applyAlignment="1">
      <alignment horizontal="left" vertical="center" wrapText="1"/>
    </xf>
    <xf numFmtId="0" fontId="90" fillId="6" borderId="14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left" vertical="center" wrapText="1"/>
    </xf>
    <xf numFmtId="0" fontId="90" fillId="13" borderId="173" xfId="1" applyFont="1" applyFill="1" applyBorder="1" applyAlignment="1">
      <alignment horizontal="left" vertical="center" wrapText="1"/>
    </xf>
    <xf numFmtId="0" fontId="32" fillId="6" borderId="184" xfId="1" applyFont="1" applyFill="1" applyBorder="1" applyAlignment="1">
      <alignment horizontal="left" vertical="center" wrapText="1"/>
    </xf>
    <xf numFmtId="0" fontId="32" fillId="6" borderId="184" xfId="1" applyFont="1" applyFill="1" applyBorder="1" applyAlignment="1">
      <alignment horizontal="center" vertical="center" wrapText="1"/>
    </xf>
    <xf numFmtId="0" fontId="32" fillId="6" borderId="34" xfId="1" applyFont="1" applyFill="1" applyBorder="1" applyAlignment="1">
      <alignment horizontal="left" vertical="center" wrapText="1"/>
    </xf>
    <xf numFmtId="0" fontId="32" fillId="6" borderId="174" xfId="1" applyFont="1" applyFill="1" applyBorder="1" applyAlignment="1">
      <alignment horizontal="left" vertical="center" wrapText="1"/>
    </xf>
    <xf numFmtId="0" fontId="32" fillId="6" borderId="182" xfId="1" applyFont="1" applyFill="1" applyBorder="1" applyAlignment="1">
      <alignment vertical="center" wrapText="1"/>
    </xf>
    <xf numFmtId="0" fontId="32" fillId="6" borderId="18" xfId="1" applyFont="1" applyFill="1" applyBorder="1" applyAlignment="1">
      <alignment horizontal="center" vertical="center" wrapText="1"/>
    </xf>
    <xf numFmtId="0" fontId="32" fillId="6" borderId="6" xfId="1" applyFont="1" applyFill="1" applyBorder="1" applyAlignment="1">
      <alignment horizontal="center" vertical="center" wrapText="1"/>
    </xf>
    <xf numFmtId="0" fontId="90" fillId="13" borderId="174" xfId="1" applyFont="1" applyFill="1" applyBorder="1" applyAlignment="1">
      <alignment horizontal="center" vertical="center" wrapText="1"/>
    </xf>
    <xf numFmtId="0" fontId="90" fillId="6" borderId="17" xfId="1" applyFont="1" applyFill="1" applyBorder="1" applyAlignment="1">
      <alignment horizontal="left" vertical="center" wrapText="1"/>
    </xf>
    <xf numFmtId="0" fontId="32" fillId="0" borderId="34" xfId="15" applyFont="1" applyBorder="1" applyAlignment="1">
      <alignment vertical="center" wrapText="1"/>
    </xf>
    <xf numFmtId="0" fontId="32" fillId="0" borderId="17" xfId="15" applyFont="1" applyBorder="1" applyAlignment="1">
      <alignment vertical="center" wrapText="1"/>
    </xf>
    <xf numFmtId="0" fontId="32" fillId="0" borderId="7" xfId="15" applyFont="1" applyBorder="1" applyAlignment="1">
      <alignment vertical="center" wrapText="1"/>
    </xf>
    <xf numFmtId="0" fontId="32" fillId="6" borderId="65" xfId="1" applyFont="1" applyFill="1" applyBorder="1" applyAlignment="1">
      <alignment horizontal="center" vertical="center" wrapText="1"/>
    </xf>
    <xf numFmtId="0" fontId="85" fillId="4" borderId="12" xfId="1" applyFont="1" applyFill="1" applyBorder="1" applyAlignment="1">
      <alignment horizontal="center" vertical="center" wrapText="1"/>
    </xf>
    <xf numFmtId="0" fontId="85" fillId="4" borderId="9" xfId="1" applyFont="1" applyFill="1" applyBorder="1" applyAlignment="1">
      <alignment vertical="center" wrapText="1"/>
    </xf>
    <xf numFmtId="0" fontId="33" fillId="21" borderId="0" xfId="15" applyFill="1"/>
    <xf numFmtId="0" fontId="79" fillId="20" borderId="12" xfId="1" applyFont="1" applyFill="1" applyBorder="1" applyAlignment="1">
      <alignment horizontal="center" vertical="center" wrapText="1"/>
    </xf>
    <xf numFmtId="0" fontId="79" fillId="20" borderId="4" xfId="1" applyFont="1" applyFill="1" applyBorder="1" applyAlignment="1">
      <alignment horizontal="left" vertical="center" wrapText="1"/>
    </xf>
    <xf numFmtId="0" fontId="79" fillId="20" borderId="9" xfId="1" applyFont="1" applyFill="1" applyBorder="1" applyAlignment="1">
      <alignment horizontal="left" vertical="center" wrapText="1"/>
    </xf>
    <xf numFmtId="0" fontId="33" fillId="20" borderId="0" xfId="15" applyFill="1"/>
    <xf numFmtId="0" fontId="90" fillId="6" borderId="182" xfId="1" applyFont="1" applyFill="1" applyBorder="1" applyAlignment="1">
      <alignment horizontal="center" vertical="center" wrapText="1"/>
    </xf>
    <xf numFmtId="0" fontId="90" fillId="13" borderId="184" xfId="1" applyFont="1" applyFill="1" applyBorder="1" applyAlignment="1">
      <alignment horizontal="left" vertical="center" wrapText="1"/>
    </xf>
    <xf numFmtId="49" fontId="90" fillId="13" borderId="174" xfId="1" applyNumberFormat="1" applyFont="1" applyFill="1" applyBorder="1" applyAlignment="1">
      <alignment horizontal="center" vertical="center" wrapText="1"/>
    </xf>
    <xf numFmtId="49" fontId="90" fillId="13" borderId="65" xfId="1" applyNumberFormat="1" applyFont="1" applyFill="1" applyBorder="1" applyAlignment="1">
      <alignment horizontal="center" vertical="center" wrapText="1"/>
    </xf>
    <xf numFmtId="0" fontId="90" fillId="13" borderId="177" xfId="1" applyFont="1" applyFill="1" applyBorder="1" applyAlignment="1">
      <alignment horizontal="left" vertical="center" wrapText="1"/>
    </xf>
    <xf numFmtId="49" fontId="32" fillId="6" borderId="162" xfId="1" applyNumberFormat="1" applyFont="1" applyFill="1" applyBorder="1" applyAlignment="1">
      <alignment horizontal="center" vertical="center" wrapText="1"/>
    </xf>
    <xf numFmtId="0" fontId="90" fillId="13" borderId="174" xfId="1" applyFont="1" applyFill="1" applyBorder="1" applyAlignment="1">
      <alignment horizontal="left" vertical="center" wrapText="1"/>
    </xf>
    <xf numFmtId="0" fontId="84" fillId="6" borderId="17" xfId="1" applyFont="1" applyFill="1" applyBorder="1" applyAlignment="1">
      <alignment horizontal="center" vertical="center" wrapText="1"/>
    </xf>
    <xf numFmtId="0" fontId="90" fillId="6" borderId="14" xfId="1" applyFont="1" applyFill="1" applyBorder="1" applyAlignment="1">
      <alignment horizontal="left" vertical="center" wrapText="1"/>
    </xf>
    <xf numFmtId="3" fontId="35" fillId="0" borderId="19" xfId="15" applyNumberFormat="1" applyFont="1" applyFill="1" applyBorder="1" applyAlignment="1">
      <alignment horizontal="right" vertical="center"/>
    </xf>
    <xf numFmtId="0" fontId="90" fillId="6" borderId="7" xfId="1" applyFont="1" applyFill="1" applyBorder="1" applyAlignment="1">
      <alignment horizontal="left" vertical="center" wrapText="1"/>
    </xf>
    <xf numFmtId="0" fontId="32" fillId="6" borderId="185" xfId="1" applyFont="1" applyFill="1" applyBorder="1" applyAlignment="1">
      <alignment horizontal="left" vertical="center" wrapText="1"/>
    </xf>
    <xf numFmtId="0" fontId="82" fillId="20" borderId="4" xfId="1" applyFont="1" applyFill="1" applyBorder="1" applyAlignment="1">
      <alignment horizontal="center" vertical="center" wrapText="1"/>
    </xf>
    <xf numFmtId="0" fontId="83" fillId="6" borderId="180" xfId="1" applyFont="1" applyFill="1" applyBorder="1" applyAlignment="1">
      <alignment vertical="center" wrapText="1"/>
    </xf>
    <xf numFmtId="49" fontId="83" fillId="6" borderId="174" xfId="1" applyNumberFormat="1" applyFont="1" applyFill="1" applyBorder="1" applyAlignment="1">
      <alignment horizontal="center" vertical="center" wrapText="1"/>
    </xf>
    <xf numFmtId="0" fontId="83" fillId="6" borderId="5" xfId="1" applyFont="1" applyFill="1" applyBorder="1" applyAlignment="1">
      <alignment vertical="center" wrapText="1"/>
    </xf>
    <xf numFmtId="0" fontId="83" fillId="6" borderId="184" xfId="1" applyFont="1" applyFill="1" applyBorder="1" applyAlignment="1">
      <alignment horizontal="center" vertical="center" wrapText="1"/>
    </xf>
    <xf numFmtId="0" fontId="82" fillId="6" borderId="18" xfId="1" applyFont="1" applyFill="1" applyBorder="1" applyAlignment="1">
      <alignment horizontal="center" vertical="center" wrapText="1"/>
    </xf>
    <xf numFmtId="0" fontId="77" fillId="6" borderId="180" xfId="1" applyFont="1" applyFill="1" applyBorder="1" applyAlignment="1">
      <alignment vertical="center" wrapText="1"/>
    </xf>
    <xf numFmtId="0" fontId="77" fillId="6" borderId="174" xfId="1" applyFont="1" applyFill="1" applyBorder="1" applyAlignment="1">
      <alignment horizontal="center" vertical="center" wrapText="1"/>
    </xf>
    <xf numFmtId="0" fontId="90" fillId="13" borderId="65" xfId="1" applyFont="1" applyFill="1" applyBorder="1" applyAlignment="1">
      <alignment horizontal="left" vertical="center" wrapText="1"/>
    </xf>
    <xf numFmtId="0" fontId="82" fillId="6" borderId="118" xfId="1" applyFont="1" applyFill="1" applyBorder="1" applyAlignment="1">
      <alignment horizontal="center" vertical="center" wrapText="1"/>
    </xf>
    <xf numFmtId="0" fontId="77" fillId="6" borderId="118" xfId="1" applyFont="1" applyFill="1" applyBorder="1" applyAlignment="1">
      <alignment vertical="center" wrapText="1"/>
    </xf>
    <xf numFmtId="0" fontId="84" fillId="6" borderId="17" xfId="1" applyFont="1" applyFill="1" applyBorder="1" applyAlignment="1">
      <alignment vertical="center" wrapText="1"/>
    </xf>
    <xf numFmtId="0" fontId="85" fillId="6" borderId="182" xfId="1" applyFont="1" applyFill="1" applyBorder="1" applyAlignment="1">
      <alignment horizontal="center" vertical="center" wrapText="1"/>
    </xf>
    <xf numFmtId="49" fontId="32" fillId="6" borderId="174" xfId="1" applyNumberFormat="1" applyFont="1" applyFill="1" applyBorder="1" applyAlignment="1">
      <alignment horizontal="center" vertical="center" wrapText="1"/>
    </xf>
    <xf numFmtId="0" fontId="90" fillId="6" borderId="118" xfId="1" applyFont="1" applyFill="1" applyBorder="1" applyAlignment="1">
      <alignment horizontal="left" vertical="center" wrapText="1"/>
    </xf>
    <xf numFmtId="0" fontId="77" fillId="6" borderId="132" xfId="1" applyFont="1" applyFill="1" applyBorder="1" applyAlignment="1">
      <alignment vertical="center" wrapText="1"/>
    </xf>
    <xf numFmtId="49" fontId="7" fillId="6" borderId="174" xfId="1" applyNumberFormat="1" applyFont="1" applyFill="1" applyBorder="1" applyAlignment="1">
      <alignment horizontal="center" vertical="center" wrapText="1"/>
    </xf>
    <xf numFmtId="0" fontId="83" fillId="6" borderId="18" xfId="1" applyFont="1" applyFill="1" applyBorder="1" applyAlignment="1">
      <alignment vertical="center" wrapText="1"/>
    </xf>
    <xf numFmtId="49" fontId="83" fillId="6" borderId="173" xfId="1" applyNumberFormat="1" applyFont="1" applyFill="1" applyBorder="1" applyAlignment="1">
      <alignment horizontal="center" vertical="center" wrapText="1"/>
    </xf>
    <xf numFmtId="49" fontId="32" fillId="6" borderId="34" xfId="1" applyNumberFormat="1" applyFont="1" applyFill="1" applyBorder="1" applyAlignment="1">
      <alignment horizontal="center" vertical="center" wrapText="1"/>
    </xf>
    <xf numFmtId="49" fontId="32" fillId="6" borderId="184" xfId="1" applyNumberFormat="1" applyFont="1" applyFill="1" applyBorder="1" applyAlignment="1">
      <alignment horizontal="center" vertical="center" wrapText="1"/>
    </xf>
    <xf numFmtId="0" fontId="84" fillId="0" borderId="17" xfId="1" applyFont="1" applyFill="1" applyBorder="1" applyAlignment="1">
      <alignment horizontal="center" vertical="center" wrapText="1"/>
    </xf>
    <xf numFmtId="0" fontId="85" fillId="20" borderId="9" xfId="1" applyFont="1" applyFill="1" applyBorder="1" applyAlignment="1">
      <alignment horizontal="center" vertical="center" wrapText="1"/>
    </xf>
    <xf numFmtId="0" fontId="85" fillId="20" borderId="9" xfId="1" applyFont="1" applyFill="1" applyBorder="1" applyAlignment="1">
      <alignment vertical="center" wrapText="1"/>
    </xf>
    <xf numFmtId="3" fontId="91" fillId="20" borderId="19" xfId="15" applyNumberFormat="1" applyFont="1" applyFill="1" applyBorder="1" applyAlignment="1">
      <alignment horizontal="right" vertical="center"/>
    </xf>
    <xf numFmtId="0" fontId="82" fillId="6" borderId="180" xfId="1" applyFont="1" applyFill="1" applyBorder="1" applyAlignment="1">
      <alignment horizontal="center" vertical="center" wrapText="1"/>
    </xf>
    <xf numFmtId="0" fontId="85" fillId="20" borderId="4" xfId="1" applyFont="1" applyFill="1" applyBorder="1" applyAlignment="1">
      <alignment vertical="center" wrapText="1"/>
    </xf>
    <xf numFmtId="0" fontId="77" fillId="6" borderId="17" xfId="1" applyFont="1" applyFill="1" applyBorder="1" applyAlignment="1">
      <alignment horizontal="center" vertical="center" wrapText="1"/>
    </xf>
    <xf numFmtId="0" fontId="82" fillId="6" borderId="182" xfId="1" applyFont="1" applyFill="1" applyBorder="1" applyAlignment="1">
      <alignment horizontal="center" vertical="center" wrapText="1"/>
    </xf>
    <xf numFmtId="49" fontId="83" fillId="6" borderId="182" xfId="1" applyNumberFormat="1" applyFont="1" applyFill="1" applyBorder="1" applyAlignment="1">
      <alignment horizontal="center" vertical="center" wrapText="1"/>
    </xf>
    <xf numFmtId="0" fontId="82" fillId="20" borderId="20" xfId="1" applyFont="1" applyFill="1" applyBorder="1" applyAlignment="1">
      <alignment horizontal="center" vertical="center" wrapText="1"/>
    </xf>
    <xf numFmtId="0" fontId="82" fillId="20" borderId="14" xfId="1" applyFont="1" applyFill="1" applyBorder="1" applyAlignment="1">
      <alignment vertical="center" wrapText="1"/>
    </xf>
    <xf numFmtId="0" fontId="82" fillId="20" borderId="183" xfId="1" applyFont="1" applyFill="1" applyBorder="1" applyAlignment="1">
      <alignment vertical="center" wrapText="1"/>
    </xf>
    <xf numFmtId="0" fontId="83" fillId="6" borderId="182" xfId="1" applyFont="1" applyFill="1" applyBorder="1" applyAlignment="1">
      <alignment vertical="center" wrapText="1"/>
    </xf>
    <xf numFmtId="49" fontId="77" fillId="6" borderId="174" xfId="1" applyNumberFormat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37" fillId="4" borderId="12" xfId="1" applyFont="1" applyFill="1" applyBorder="1" applyAlignment="1">
      <alignment horizontal="center" vertical="center" wrapText="1"/>
    </xf>
    <xf numFmtId="0" fontId="37" fillId="4" borderId="4" xfId="1" applyFont="1" applyFill="1" applyBorder="1" applyAlignment="1">
      <alignment vertical="center" wrapText="1"/>
    </xf>
    <xf numFmtId="0" fontId="37" fillId="4" borderId="9" xfId="1" applyFont="1" applyFill="1" applyBorder="1" applyAlignment="1">
      <alignment vertical="center" wrapText="1"/>
    </xf>
    <xf numFmtId="0" fontId="12" fillId="6" borderId="17" xfId="1" applyFont="1" applyFill="1" applyBorder="1" applyAlignment="1">
      <alignment horizontal="center" vertical="center" wrapText="1"/>
    </xf>
    <xf numFmtId="0" fontId="82" fillId="6" borderId="34" xfId="1" applyFont="1" applyFill="1" applyBorder="1" applyAlignment="1">
      <alignment horizontal="center" vertical="center" wrapText="1"/>
    </xf>
    <xf numFmtId="0" fontId="83" fillId="6" borderId="174" xfId="1" applyFont="1" applyFill="1" applyBorder="1" applyAlignment="1">
      <alignment horizontal="center" vertical="center" wrapText="1"/>
    </xf>
    <xf numFmtId="0" fontId="32" fillId="4" borderId="12" xfId="1" applyFont="1" applyFill="1" applyBorder="1" applyAlignment="1">
      <alignment horizontal="center" vertical="center" wrapText="1"/>
    </xf>
    <xf numFmtId="0" fontId="37" fillId="4" borderId="4" xfId="1" applyFont="1" applyFill="1" applyBorder="1" applyAlignment="1">
      <alignment horizontal="left" vertical="center" wrapText="1"/>
    </xf>
    <xf numFmtId="0" fontId="37" fillId="4" borderId="9" xfId="1" applyFont="1" applyFill="1" applyBorder="1" applyAlignment="1">
      <alignment horizontal="left" vertical="center" wrapText="1"/>
    </xf>
    <xf numFmtId="0" fontId="84" fillId="6" borderId="19" xfId="1" applyFont="1" applyFill="1" applyBorder="1" applyAlignment="1">
      <alignment vertical="center" wrapText="1"/>
    </xf>
    <xf numFmtId="0" fontId="90" fillId="6" borderId="5" xfId="1" applyFont="1" applyFill="1" applyBorder="1" applyAlignment="1">
      <alignment horizontal="center" vertical="center" wrapText="1"/>
    </xf>
    <xf numFmtId="0" fontId="32" fillId="6" borderId="5" xfId="1" applyFont="1" applyFill="1" applyBorder="1" applyAlignment="1">
      <alignment horizontal="left" vertical="center" wrapText="1"/>
    </xf>
    <xf numFmtId="0" fontId="32" fillId="6" borderId="0" xfId="1" applyFont="1" applyFill="1" applyBorder="1" applyAlignment="1">
      <alignment horizontal="center" vertical="center" wrapText="1"/>
    </xf>
    <xf numFmtId="3" fontId="35" fillId="13" borderId="17" xfId="15" applyNumberFormat="1" applyFont="1" applyFill="1" applyBorder="1" applyAlignment="1">
      <alignment horizontal="right" vertical="center"/>
    </xf>
    <xf numFmtId="0" fontId="11" fillId="2" borderId="9" xfId="1" applyFont="1" applyFill="1" applyBorder="1" applyAlignment="1">
      <alignment horizontal="center" vertical="center" wrapText="1"/>
    </xf>
    <xf numFmtId="3" fontId="92" fillId="2" borderId="19" xfId="15" applyNumberFormat="1" applyFont="1" applyFill="1" applyBorder="1" applyAlignment="1">
      <alignment horizontal="right" vertical="center"/>
    </xf>
    <xf numFmtId="0" fontId="31" fillId="13" borderId="8" xfId="1" applyFont="1" applyFill="1" applyBorder="1" applyAlignment="1">
      <alignment vertical="center"/>
    </xf>
    <xf numFmtId="3" fontId="92" fillId="13" borderId="19" xfId="15" applyNumberFormat="1" applyFont="1" applyFill="1" applyBorder="1" applyAlignment="1">
      <alignment horizontal="right" vertical="center"/>
    </xf>
    <xf numFmtId="0" fontId="31" fillId="13" borderId="34" xfId="1" applyFont="1" applyFill="1" applyBorder="1" applyAlignment="1">
      <alignment vertical="center"/>
    </xf>
    <xf numFmtId="3" fontId="94" fillId="13" borderId="34" xfId="15" applyNumberFormat="1" applyFont="1" applyFill="1" applyBorder="1" applyAlignment="1">
      <alignment horizontal="right" vertical="center"/>
    </xf>
    <xf numFmtId="0" fontId="31" fillId="13" borderId="7" xfId="1" applyFont="1" applyFill="1" applyBorder="1" applyAlignment="1">
      <alignment vertical="center"/>
    </xf>
    <xf numFmtId="3" fontId="94" fillId="13" borderId="14" xfId="15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36" fillId="0" borderId="0" xfId="1" applyFont="1" applyBorder="1" applyAlignment="1">
      <alignment horizontal="center" vertical="center"/>
    </xf>
    <xf numFmtId="3" fontId="5" fillId="0" borderId="0" xfId="1" applyNumberFormat="1" applyFont="1" applyBorder="1" applyAlignment="1">
      <alignment vertical="center"/>
    </xf>
    <xf numFmtId="0" fontId="33" fillId="0" borderId="0" xfId="15" applyBorder="1"/>
    <xf numFmtId="0" fontId="5" fillId="0" borderId="0" xfId="1" applyFont="1" applyBorder="1" applyAlignment="1">
      <alignment vertical="center"/>
    </xf>
    <xf numFmtId="3" fontId="36" fillId="0" borderId="0" xfId="1" applyNumberFormat="1" applyFont="1" applyBorder="1" applyAlignment="1">
      <alignment vertical="center"/>
    </xf>
    <xf numFmtId="3" fontId="95" fillId="6" borderId="35" xfId="0" applyNumberFormat="1" applyFont="1" applyFill="1" applyBorder="1" applyAlignment="1">
      <alignment horizontal="left" vertical="center" wrapText="1"/>
    </xf>
    <xf numFmtId="0" fontId="95" fillId="6" borderId="35" xfId="0" applyFont="1" applyFill="1" applyBorder="1" applyAlignment="1">
      <alignment horizontal="left" vertical="center" wrapText="1"/>
    </xf>
    <xf numFmtId="0" fontId="32" fillId="0" borderId="52" xfId="1" applyFont="1" applyBorder="1" applyAlignment="1">
      <alignment horizontal="left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3" fontId="11" fillId="0" borderId="126" xfId="1" applyNumberFormat="1" applyFont="1" applyBorder="1" applyAlignment="1">
      <alignment horizontal="right" vertical="center"/>
    </xf>
    <xf numFmtId="0" fontId="21" fillId="0" borderId="105" xfId="1" applyFont="1" applyFill="1" applyBorder="1" applyAlignment="1">
      <alignment horizontal="right" vertical="center" wrapText="1"/>
    </xf>
    <xf numFmtId="3" fontId="21" fillId="0" borderId="105" xfId="1" applyNumberFormat="1" applyFont="1" applyFill="1" applyBorder="1" applyAlignment="1">
      <alignment horizontal="right" vertical="center" wrapText="1"/>
    </xf>
    <xf numFmtId="3" fontId="21" fillId="0" borderId="105" xfId="1" applyNumberFormat="1" applyFont="1" applyFill="1" applyBorder="1" applyAlignment="1">
      <alignment horizontal="right" vertical="center"/>
    </xf>
    <xf numFmtId="0" fontId="21" fillId="0" borderId="105" xfId="1" applyFont="1" applyFill="1" applyBorder="1" applyAlignment="1">
      <alignment horizontal="center" vertical="center"/>
    </xf>
    <xf numFmtId="0" fontId="21" fillId="0" borderId="105" xfId="1" applyFont="1" applyBorder="1" applyAlignment="1">
      <alignment horizontal="center" vertical="center"/>
    </xf>
    <xf numFmtId="0" fontId="21" fillId="0" borderId="10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21" fillId="0" borderId="98" xfId="1" applyFont="1" applyFill="1" applyBorder="1" applyAlignment="1">
      <alignment horizontal="right" vertical="center" wrapText="1"/>
    </xf>
    <xf numFmtId="3" fontId="11" fillId="0" borderId="93" xfId="1" applyNumberFormat="1" applyFont="1" applyBorder="1" applyAlignment="1">
      <alignment horizontal="right" vertical="center"/>
    </xf>
    <xf numFmtId="0" fontId="21" fillId="0" borderId="120" xfId="1" applyFont="1" applyBorder="1" applyAlignment="1">
      <alignment horizontal="center" vertical="center" wrapText="1"/>
    </xf>
    <xf numFmtId="3" fontId="21" fillId="0" borderId="120" xfId="1" applyNumberFormat="1" applyFont="1" applyBorder="1" applyAlignment="1">
      <alignment horizontal="right" vertical="center"/>
    </xf>
    <xf numFmtId="3" fontId="21" fillId="0" borderId="107" xfId="1" applyNumberFormat="1" applyFont="1" applyBorder="1" applyAlignment="1">
      <alignment horizontal="right" vertical="center"/>
    </xf>
    <xf numFmtId="3" fontId="11" fillId="0" borderId="126" xfId="1" applyNumberFormat="1" applyFont="1" applyFill="1" applyBorder="1" applyAlignment="1">
      <alignment horizontal="right" vertical="center"/>
    </xf>
    <xf numFmtId="0" fontId="11" fillId="0" borderId="126" xfId="1" applyFont="1" applyFill="1" applyBorder="1" applyAlignment="1">
      <alignment horizontal="right" vertical="center"/>
    </xf>
    <xf numFmtId="0" fontId="11" fillId="0" borderId="93" xfId="1" applyFont="1" applyFill="1" applyBorder="1" applyAlignment="1">
      <alignment horizontal="right" vertical="center"/>
    </xf>
    <xf numFmtId="0" fontId="11" fillId="3" borderId="68" xfId="1" applyFont="1" applyFill="1" applyBorder="1" applyAlignment="1">
      <alignment horizontal="center" vertical="center" wrapText="1"/>
    </xf>
    <xf numFmtId="0" fontId="11" fillId="3" borderId="52" xfId="1" applyFont="1" applyFill="1" applyBorder="1" applyAlignment="1">
      <alignment horizontal="center" vertical="center" wrapText="1"/>
    </xf>
    <xf numFmtId="0" fontId="11" fillId="3" borderId="69" xfId="1" applyFont="1" applyFill="1" applyBorder="1" applyAlignment="1">
      <alignment horizontal="center" vertical="center" wrapText="1"/>
    </xf>
    <xf numFmtId="0" fontId="84" fillId="0" borderId="17" xfId="1" applyFont="1" applyFill="1" applyBorder="1" applyAlignment="1">
      <alignment horizontal="center" vertical="center" wrapText="1"/>
    </xf>
    <xf numFmtId="49" fontId="67" fillId="14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8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3" xfId="1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4" fillId="0" borderId="0" xfId="1" applyFont="1" applyAlignment="1">
      <alignment horizontal="center" vertical="center"/>
    </xf>
    <xf numFmtId="0" fontId="12" fillId="4" borderId="52" xfId="1" applyFont="1" applyFill="1" applyBorder="1" applyAlignment="1">
      <alignment horizontal="center" vertical="center" wrapText="1"/>
    </xf>
    <xf numFmtId="49" fontId="67" fillId="14" borderId="188" xfId="10" applyNumberFormat="1" applyFont="1" applyFill="1" applyBorder="1" applyAlignment="1" applyProtection="1">
      <alignment horizontal="center" vertical="center" wrapText="1"/>
      <protection locked="0"/>
    </xf>
    <xf numFmtId="3" fontId="67" fillId="0" borderId="189" xfId="10" applyNumberFormat="1" applyFont="1" applyFill="1" applyBorder="1" applyAlignment="1" applyProtection="1">
      <alignment horizontal="right" vertical="center"/>
      <protection locked="0"/>
    </xf>
    <xf numFmtId="3" fontId="80" fillId="0" borderId="34" xfId="15" applyNumberFormat="1" applyFont="1" applyFill="1" applyBorder="1" applyAlignment="1">
      <alignment horizontal="right" vertical="center"/>
    </xf>
    <xf numFmtId="0" fontId="12" fillId="4" borderId="153" xfId="1" applyFont="1" applyFill="1" applyBorder="1" applyAlignment="1">
      <alignment horizontal="center" vertical="center"/>
    </xf>
    <xf numFmtId="0" fontId="12" fillId="4" borderId="88" xfId="1" applyFont="1" applyFill="1" applyBorder="1" applyAlignment="1">
      <alignment horizontal="center" vertical="center" wrapText="1"/>
    </xf>
    <xf numFmtId="3" fontId="12" fillId="0" borderId="79" xfId="1" applyNumberFormat="1" applyFont="1" applyBorder="1" applyAlignment="1">
      <alignment horizontal="right" vertical="center"/>
    </xf>
    <xf numFmtId="3" fontId="8" fillId="0" borderId="194" xfId="1" applyNumberFormat="1" applyFont="1" applyBorder="1" applyAlignment="1">
      <alignment horizontal="right" vertical="center"/>
    </xf>
    <xf numFmtId="0" fontId="7" fillId="0" borderId="193" xfId="1" applyFont="1" applyBorder="1" applyAlignment="1">
      <alignment horizontal="center" vertical="center"/>
    </xf>
    <xf numFmtId="0" fontId="42" fillId="7" borderId="193" xfId="1" applyFont="1" applyFill="1" applyBorder="1" applyAlignment="1">
      <alignment horizontal="center" vertical="center"/>
    </xf>
    <xf numFmtId="3" fontId="7" fillId="0" borderId="194" xfId="1" applyNumberFormat="1" applyFont="1" applyBorder="1" applyAlignment="1">
      <alignment horizontal="right" vertical="center"/>
    </xf>
    <xf numFmtId="0" fontId="12" fillId="8" borderId="193" xfId="1" applyFont="1" applyFill="1" applyBorder="1" applyAlignment="1">
      <alignment horizontal="center" vertical="center"/>
    </xf>
    <xf numFmtId="3" fontId="12" fillId="0" borderId="194" xfId="1" applyNumberFormat="1" applyFont="1" applyBorder="1" applyAlignment="1">
      <alignment horizontal="right" vertical="center"/>
    </xf>
    <xf numFmtId="0" fontId="43" fillId="7" borderId="193" xfId="1" applyFont="1" applyFill="1" applyBorder="1" applyAlignment="1">
      <alignment horizontal="center" vertical="center"/>
    </xf>
    <xf numFmtId="0" fontId="12" fillId="0" borderId="193" xfId="1" applyFont="1" applyBorder="1" applyAlignment="1">
      <alignment horizontal="center" vertical="center"/>
    </xf>
    <xf numFmtId="0" fontId="7" fillId="7" borderId="193" xfId="1" applyFont="1" applyFill="1" applyBorder="1" applyAlignment="1">
      <alignment horizontal="center" vertical="center"/>
    </xf>
    <xf numFmtId="0" fontId="12" fillId="0" borderId="193" xfId="1" applyFont="1" applyFill="1" applyBorder="1" applyAlignment="1">
      <alignment horizontal="center" vertical="center" wrapText="1"/>
    </xf>
    <xf numFmtId="3" fontId="12" fillId="4" borderId="88" xfId="1" applyNumberFormat="1" applyFont="1" applyFill="1" applyBorder="1" applyAlignment="1">
      <alignment horizontal="right" vertical="center"/>
    </xf>
    <xf numFmtId="0" fontId="45" fillId="7" borderId="126" xfId="1" applyFont="1" applyFill="1" applyBorder="1" applyAlignment="1">
      <alignment horizontal="center" vertical="center"/>
    </xf>
    <xf numFmtId="3" fontId="12" fillId="7" borderId="126" xfId="1" applyNumberFormat="1" applyFont="1" applyFill="1" applyBorder="1" applyAlignment="1">
      <alignment horizontal="right" vertical="center"/>
    </xf>
    <xf numFmtId="3" fontId="12" fillId="7" borderId="93" xfId="1" applyNumberFormat="1" applyFont="1" applyFill="1" applyBorder="1" applyAlignment="1">
      <alignment horizontal="right" vertical="center"/>
    </xf>
    <xf numFmtId="3" fontId="12" fillId="0" borderId="193" xfId="1" applyNumberFormat="1" applyFont="1" applyFill="1" applyBorder="1" applyAlignment="1">
      <alignment horizontal="right" vertical="center"/>
    </xf>
    <xf numFmtId="3" fontId="45" fillId="0" borderId="193" xfId="1" applyNumberFormat="1" applyFont="1" applyFill="1" applyBorder="1" applyAlignment="1">
      <alignment horizontal="right" vertical="center"/>
    </xf>
    <xf numFmtId="3" fontId="12" fillId="0" borderId="194" xfId="1" applyNumberFormat="1" applyFont="1" applyFill="1" applyBorder="1" applyAlignment="1">
      <alignment horizontal="right" vertical="center"/>
    </xf>
    <xf numFmtId="0" fontId="8" fillId="0" borderId="193" xfId="1" applyFont="1" applyFill="1" applyBorder="1" applyAlignment="1">
      <alignment horizontal="center" vertical="center" wrapText="1"/>
    </xf>
    <xf numFmtId="3" fontId="8" fillId="0" borderId="193" xfId="1" applyNumberFormat="1" applyFont="1" applyFill="1" applyBorder="1" applyAlignment="1">
      <alignment horizontal="right" vertical="center"/>
    </xf>
    <xf numFmtId="3" fontId="42" fillId="0" borderId="193" xfId="1" applyNumberFormat="1" applyFont="1" applyFill="1" applyBorder="1" applyAlignment="1">
      <alignment horizontal="right" vertical="center"/>
    </xf>
    <xf numFmtId="3" fontId="42" fillId="0" borderId="194" xfId="1" applyNumberFormat="1" applyFont="1" applyFill="1" applyBorder="1" applyAlignment="1">
      <alignment horizontal="right" vertical="center"/>
    </xf>
    <xf numFmtId="3" fontId="8" fillId="0" borderId="194" xfId="1" applyNumberFormat="1" applyFont="1" applyFill="1" applyBorder="1" applyAlignment="1">
      <alignment horizontal="right" vertical="center"/>
    </xf>
    <xf numFmtId="49" fontId="45" fillId="7" borderId="193" xfId="1" applyNumberFormat="1" applyFont="1" applyFill="1" applyBorder="1" applyAlignment="1">
      <alignment horizontal="center" vertical="center"/>
    </xf>
    <xf numFmtId="3" fontId="12" fillId="7" borderId="193" xfId="1" applyNumberFormat="1" applyFont="1" applyFill="1" applyBorder="1" applyAlignment="1">
      <alignment horizontal="right" vertical="center"/>
    </xf>
    <xf numFmtId="3" fontId="12" fillId="7" borderId="194" xfId="1" applyNumberFormat="1" applyFont="1" applyFill="1" applyBorder="1" applyAlignment="1">
      <alignment horizontal="right" vertical="center"/>
    </xf>
    <xf numFmtId="49" fontId="12" fillId="0" borderId="193" xfId="1" applyNumberFormat="1" applyFont="1" applyFill="1" applyBorder="1" applyAlignment="1">
      <alignment horizontal="center" vertical="center"/>
    </xf>
    <xf numFmtId="3" fontId="45" fillId="0" borderId="194" xfId="1" applyNumberFormat="1" applyFont="1" applyFill="1" applyBorder="1" applyAlignment="1">
      <alignment horizontal="right" vertical="center"/>
    </xf>
    <xf numFmtId="0" fontId="12" fillId="7" borderId="193" xfId="1" applyFont="1" applyFill="1" applyBorder="1" applyAlignment="1">
      <alignment horizontal="center" vertical="center"/>
    </xf>
    <xf numFmtId="49" fontId="12" fillId="7" borderId="193" xfId="1" applyNumberFormat="1" applyFont="1" applyFill="1" applyBorder="1" applyAlignment="1">
      <alignment horizontal="center" vertical="center"/>
    </xf>
    <xf numFmtId="49" fontId="12" fillId="0" borderId="195" xfId="1" applyNumberFormat="1" applyFont="1" applyFill="1" applyBorder="1" applyAlignment="1">
      <alignment horizontal="center" vertical="center"/>
    </xf>
    <xf numFmtId="0" fontId="12" fillId="0" borderId="195" xfId="1" applyFont="1" applyFill="1" applyBorder="1" applyAlignment="1">
      <alignment horizontal="center" vertical="center" wrapText="1"/>
    </xf>
    <xf numFmtId="3" fontId="12" fillId="0" borderId="195" xfId="1" applyNumberFormat="1" applyFont="1" applyFill="1" applyBorder="1" applyAlignment="1">
      <alignment horizontal="right" vertical="center"/>
    </xf>
    <xf numFmtId="3" fontId="12" fillId="0" borderId="198" xfId="1" applyNumberFormat="1" applyFont="1" applyFill="1" applyBorder="1" applyAlignment="1">
      <alignment horizontal="right" vertical="center"/>
    </xf>
    <xf numFmtId="0" fontId="12" fillId="7" borderId="126" xfId="1" applyFont="1" applyFill="1" applyBorder="1" applyAlignment="1">
      <alignment horizontal="center" vertical="center" wrapText="1"/>
    </xf>
    <xf numFmtId="0" fontId="12" fillId="0" borderId="193" xfId="1" applyFont="1" applyFill="1" applyBorder="1" applyAlignment="1">
      <alignment horizontal="center" vertical="center"/>
    </xf>
    <xf numFmtId="0" fontId="8" fillId="0" borderId="193" xfId="1" applyFont="1" applyFill="1" applyBorder="1" applyAlignment="1">
      <alignment horizontal="center" vertical="center"/>
    </xf>
    <xf numFmtId="0" fontId="8" fillId="0" borderId="195" xfId="1" applyFont="1" applyFill="1" applyBorder="1" applyAlignment="1">
      <alignment horizontal="center" vertical="center"/>
    </xf>
    <xf numFmtId="3" fontId="8" fillId="0" borderId="195" xfId="1" applyNumberFormat="1" applyFont="1" applyFill="1" applyBorder="1" applyAlignment="1">
      <alignment horizontal="right" vertical="center"/>
    </xf>
    <xf numFmtId="3" fontId="8" fillId="0" borderId="198" xfId="1" applyNumberFormat="1" applyFont="1" applyFill="1" applyBorder="1" applyAlignment="1">
      <alignment horizontal="right" vertical="center"/>
    </xf>
    <xf numFmtId="3" fontId="12" fillId="7" borderId="79" xfId="1" applyNumberFormat="1" applyFont="1" applyFill="1" applyBorder="1" applyAlignment="1">
      <alignment horizontal="right" vertical="center"/>
    </xf>
    <xf numFmtId="49" fontId="12" fillId="4" borderId="153" xfId="1" applyNumberFormat="1" applyFont="1" applyFill="1" applyBorder="1" applyAlignment="1">
      <alignment horizontal="center" vertical="center"/>
    </xf>
    <xf numFmtId="3" fontId="12" fillId="4" borderId="153" xfId="1" applyNumberFormat="1" applyFont="1" applyFill="1" applyBorder="1" applyAlignment="1">
      <alignment horizontal="right" vertical="center"/>
    </xf>
    <xf numFmtId="0" fontId="32" fillId="6" borderId="194" xfId="1" applyFont="1" applyFill="1" applyBorder="1" applyAlignment="1">
      <alignment horizontal="left" vertical="center" wrapText="1"/>
    </xf>
    <xf numFmtId="0" fontId="77" fillId="6" borderId="194" xfId="1" applyFont="1" applyFill="1" applyBorder="1" applyAlignment="1">
      <alignment vertical="center" wrapText="1"/>
    </xf>
    <xf numFmtId="0" fontId="39" fillId="0" borderId="0" xfId="15" applyFont="1" applyAlignment="1">
      <alignment horizontal="right" vertical="center" wrapText="1"/>
    </xf>
    <xf numFmtId="0" fontId="76" fillId="0" borderId="0" xfId="15" applyFont="1" applyBorder="1" applyAlignment="1">
      <alignment horizontal="center" vertical="center" wrapText="1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4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0" fontId="8" fillId="13" borderId="177" xfId="15" applyFont="1" applyFill="1" applyBorder="1" applyAlignment="1">
      <alignment horizontal="left" vertical="center" wrapText="1"/>
    </xf>
    <xf numFmtId="0" fontId="8" fillId="13" borderId="178" xfId="15" quotePrefix="1" applyFont="1" applyFill="1" applyBorder="1" applyAlignment="1">
      <alignment horizontal="left" vertical="center" wrapText="1"/>
    </xf>
    <xf numFmtId="0" fontId="77" fillId="0" borderId="6" xfId="15" applyFont="1" applyBorder="1" applyAlignment="1">
      <alignment horizontal="center" vertical="center" wrapText="1"/>
    </xf>
    <xf numFmtId="0" fontId="8" fillId="13" borderId="174" xfId="15" applyFont="1" applyFill="1" applyBorder="1" applyAlignment="1">
      <alignment horizontal="left" vertical="center" wrapText="1"/>
    </xf>
    <xf numFmtId="0" fontId="8" fillId="13" borderId="118" xfId="15" quotePrefix="1" applyFont="1" applyFill="1" applyBorder="1" applyAlignment="1">
      <alignment horizontal="left" vertical="center" wrapText="1"/>
    </xf>
    <xf numFmtId="0" fontId="77" fillId="0" borderId="5" xfId="15" applyFont="1" applyBorder="1" applyAlignment="1">
      <alignment horizontal="center" vertical="center" wrapText="1"/>
    </xf>
    <xf numFmtId="0" fontId="77" fillId="0" borderId="40" xfId="15" applyFont="1" applyBorder="1" applyAlignment="1">
      <alignment horizontal="center" vertical="center" wrapText="1"/>
    </xf>
    <xf numFmtId="0" fontId="77" fillId="0" borderId="17" xfId="15" applyFont="1" applyBorder="1" applyAlignment="1">
      <alignment horizontal="center" vertical="center" wrapText="1"/>
    </xf>
    <xf numFmtId="0" fontId="77" fillId="0" borderId="14" xfId="15" applyFont="1" applyBorder="1" applyAlignment="1">
      <alignment horizontal="center" vertical="center" wrapText="1"/>
    </xf>
    <xf numFmtId="10" fontId="11" fillId="2" borderId="19" xfId="15" applyNumberFormat="1" applyFont="1" applyFill="1" applyBorder="1" applyAlignment="1">
      <alignment horizontal="center" vertical="center" wrapText="1"/>
    </xf>
    <xf numFmtId="10" fontId="11" fillId="2" borderId="14" xfId="15" applyNumberFormat="1" applyFont="1" applyFill="1" applyBorder="1" applyAlignment="1">
      <alignment horizontal="center" vertical="center" wrapText="1"/>
    </xf>
    <xf numFmtId="0" fontId="12" fillId="0" borderId="17" xfId="15" quotePrefix="1" applyFont="1" applyFill="1" applyBorder="1" applyAlignment="1">
      <alignment horizontal="center" vertical="center" wrapText="1"/>
    </xf>
    <xf numFmtId="0" fontId="8" fillId="13" borderId="176" xfId="15" applyFont="1" applyFill="1" applyBorder="1" applyAlignment="1">
      <alignment horizontal="left" vertical="center" wrapText="1"/>
    </xf>
    <xf numFmtId="0" fontId="12" fillId="0" borderId="5" xfId="15" quotePrefix="1" applyFont="1" applyFill="1" applyBorder="1" applyAlignment="1">
      <alignment horizontal="center" vertical="center" wrapText="1"/>
    </xf>
    <xf numFmtId="0" fontId="7" fillId="0" borderId="0" xfId="15" applyFont="1" applyFill="1" applyBorder="1" applyAlignment="1">
      <alignment horizontal="left" vertical="center" wrapText="1"/>
    </xf>
    <xf numFmtId="0" fontId="8" fillId="13" borderId="73" xfId="15" applyFont="1" applyFill="1" applyBorder="1" applyAlignment="1">
      <alignment horizontal="left" vertical="center" wrapText="1"/>
    </xf>
    <xf numFmtId="0" fontId="7" fillId="0" borderId="17" xfId="15" quotePrefix="1" applyFont="1" applyBorder="1" applyAlignment="1">
      <alignment horizontal="center" vertical="center" wrapText="1"/>
    </xf>
    <xf numFmtId="0" fontId="7" fillId="0" borderId="17" xfId="15" applyFont="1" applyBorder="1" applyAlignment="1">
      <alignment horizontal="left" vertical="center" wrapText="1"/>
    </xf>
    <xf numFmtId="0" fontId="43" fillId="0" borderId="17" xfId="15" applyFont="1" applyBorder="1" applyAlignment="1">
      <alignment horizontal="left" vertical="center" wrapText="1"/>
    </xf>
    <xf numFmtId="0" fontId="8" fillId="13" borderId="65" xfId="15" applyFont="1" applyFill="1" applyBorder="1" applyAlignment="1">
      <alignment horizontal="left" vertical="center" wrapText="1"/>
    </xf>
    <xf numFmtId="49" fontId="9" fillId="0" borderId="182" xfId="15" applyNumberFormat="1" applyFont="1" applyBorder="1" applyAlignment="1">
      <alignment horizontal="center" vertical="center" wrapText="1"/>
    </xf>
    <xf numFmtId="49" fontId="9" fillId="0" borderId="14" xfId="15" applyNumberFormat="1" applyFont="1" applyBorder="1" applyAlignment="1">
      <alignment horizontal="center" vertical="center" wrapText="1"/>
    </xf>
    <xf numFmtId="0" fontId="12" fillId="0" borderId="19" xfId="15" quotePrefix="1" applyFont="1" applyFill="1" applyBorder="1" applyAlignment="1">
      <alignment horizontal="center" vertical="center" wrapText="1"/>
    </xf>
    <xf numFmtId="0" fontId="8" fillId="13" borderId="0" xfId="15" applyFont="1" applyFill="1" applyBorder="1" applyAlignment="1">
      <alignment horizontal="left" vertical="center" wrapText="1"/>
    </xf>
    <xf numFmtId="0" fontId="8" fillId="13" borderId="0" xfId="15" quotePrefix="1" applyFont="1" applyFill="1" applyBorder="1" applyAlignment="1">
      <alignment horizontal="left" vertical="center" wrapText="1"/>
    </xf>
    <xf numFmtId="0" fontId="8" fillId="0" borderId="182" xfId="15" applyFont="1" applyFill="1" applyBorder="1" applyAlignment="1">
      <alignment horizontal="center" vertical="center" wrapText="1"/>
    </xf>
    <xf numFmtId="0" fontId="8" fillId="0" borderId="18" xfId="15" applyFont="1" applyFill="1" applyBorder="1" applyAlignment="1">
      <alignment horizontal="center" vertical="center" wrapText="1"/>
    </xf>
    <xf numFmtId="0" fontId="8" fillId="13" borderId="184" xfId="15" applyFont="1" applyFill="1" applyBorder="1" applyAlignment="1">
      <alignment horizontal="left" vertical="center" wrapText="1"/>
    </xf>
    <xf numFmtId="0" fontId="8" fillId="13" borderId="185" xfId="15" quotePrefix="1" applyFont="1" applyFill="1" applyBorder="1" applyAlignment="1">
      <alignment horizontal="left" vertical="center" wrapText="1"/>
    </xf>
    <xf numFmtId="0" fontId="8" fillId="13" borderId="132" xfId="15" quotePrefix="1" applyFont="1" applyFill="1" applyBorder="1" applyAlignment="1">
      <alignment horizontal="left" vertical="center" wrapText="1"/>
    </xf>
    <xf numFmtId="0" fontId="8" fillId="13" borderId="73" xfId="15" quotePrefix="1" applyFont="1" applyFill="1" applyBorder="1" applyAlignment="1">
      <alignment horizontal="left" vertical="center" wrapText="1"/>
    </xf>
    <xf numFmtId="0" fontId="8" fillId="6" borderId="17" xfId="15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center" vertical="center" wrapText="1"/>
    </xf>
    <xf numFmtId="0" fontId="8" fillId="13" borderId="181" xfId="15" applyFont="1" applyFill="1" applyBorder="1" applyAlignment="1">
      <alignment horizontal="left" vertical="center" wrapText="1"/>
    </xf>
    <xf numFmtId="49" fontId="8" fillId="13" borderId="63" xfId="15" applyNumberFormat="1" applyFont="1" applyFill="1" applyBorder="1" applyAlignment="1">
      <alignment horizontal="left" vertical="center" wrapText="1"/>
    </xf>
    <xf numFmtId="49" fontId="8" fillId="13" borderId="65" xfId="15" applyNumberFormat="1" applyFont="1" applyFill="1" applyBorder="1" applyAlignment="1">
      <alignment horizontal="left" vertical="center" wrapText="1"/>
    </xf>
    <xf numFmtId="49" fontId="8" fillId="13" borderId="73" xfId="15" applyNumberFormat="1" applyFont="1" applyFill="1" applyBorder="1" applyAlignment="1">
      <alignment horizontal="left" vertical="center" wrapText="1"/>
    </xf>
    <xf numFmtId="0" fontId="8" fillId="13" borderId="63" xfId="15" applyFont="1" applyFill="1" applyBorder="1" applyAlignment="1">
      <alignment horizontal="left" vertical="center" wrapText="1"/>
    </xf>
    <xf numFmtId="0" fontId="8" fillId="13" borderId="63" xfId="15" quotePrefix="1" applyFont="1" applyFill="1" applyBorder="1" applyAlignment="1">
      <alignment horizontal="left" vertical="center" wrapText="1"/>
    </xf>
    <xf numFmtId="0" fontId="77" fillId="6" borderId="182" xfId="15" applyFont="1" applyFill="1" applyBorder="1" applyAlignment="1">
      <alignment horizontal="left" vertical="center" wrapText="1"/>
    </xf>
    <xf numFmtId="0" fontId="77" fillId="6" borderId="18" xfId="15" applyFont="1" applyFill="1" applyBorder="1" applyAlignment="1">
      <alignment horizontal="left" vertical="center" wrapText="1"/>
    </xf>
    <xf numFmtId="0" fontId="8" fillId="6" borderId="14" xfId="15" applyFont="1" applyFill="1" applyBorder="1" applyAlignment="1">
      <alignment horizontal="center" vertical="center" wrapText="1"/>
    </xf>
    <xf numFmtId="0" fontId="8" fillId="13" borderId="10" xfId="15" applyFont="1" applyFill="1" applyBorder="1" applyAlignment="1">
      <alignment horizontal="left" vertical="center" wrapText="1"/>
    </xf>
    <xf numFmtId="0" fontId="8" fillId="6" borderId="185" xfId="15" applyFont="1" applyFill="1" applyBorder="1" applyAlignment="1">
      <alignment horizontal="center" vertical="center" wrapText="1"/>
    </xf>
    <xf numFmtId="0" fontId="8" fillId="6" borderId="5" xfId="15" applyFont="1" applyFill="1" applyBorder="1" applyAlignment="1">
      <alignment horizontal="center" vertical="center" wrapText="1"/>
    </xf>
    <xf numFmtId="0" fontId="8" fillId="13" borderId="186" xfId="15" applyFont="1" applyFill="1" applyBorder="1" applyAlignment="1">
      <alignment horizontal="left" vertical="center" wrapText="1"/>
    </xf>
    <xf numFmtId="0" fontId="77" fillId="0" borderId="19" xfId="15" applyFont="1" applyBorder="1" applyAlignment="1">
      <alignment horizontal="center" vertical="center" wrapText="1"/>
    </xf>
    <xf numFmtId="0" fontId="8" fillId="13" borderId="176" xfId="15" quotePrefix="1" applyFont="1" applyFill="1" applyBorder="1" applyAlignment="1">
      <alignment horizontal="left" vertical="center" wrapText="1"/>
    </xf>
    <xf numFmtId="0" fontId="8" fillId="13" borderId="162" xfId="15" applyFont="1" applyFill="1" applyBorder="1" applyAlignment="1">
      <alignment horizontal="left" vertical="center" wrapText="1"/>
    </xf>
    <xf numFmtId="0" fontId="8" fillId="13" borderId="162" xfId="15" quotePrefix="1" applyFont="1" applyFill="1" applyBorder="1" applyAlignment="1">
      <alignment horizontal="left" vertical="center" wrapText="1"/>
    </xf>
    <xf numFmtId="0" fontId="81" fillId="0" borderId="182" xfId="15" applyFont="1" applyBorder="1" applyAlignment="1">
      <alignment horizontal="center" vertical="center" wrapText="1"/>
    </xf>
    <xf numFmtId="0" fontId="81" fillId="0" borderId="17" xfId="15" applyFont="1" applyBorder="1" applyAlignment="1">
      <alignment horizontal="center" vertical="center" wrapText="1"/>
    </xf>
    <xf numFmtId="3" fontId="35" fillId="0" borderId="182" xfId="15" applyNumberFormat="1" applyFont="1" applyFill="1" applyBorder="1" applyAlignment="1">
      <alignment horizontal="right" vertical="center"/>
    </xf>
    <xf numFmtId="3" fontId="35" fillId="0" borderId="14" xfId="15" applyNumberFormat="1" applyFont="1" applyFill="1" applyBorder="1" applyAlignment="1">
      <alignment horizontal="right" vertical="center"/>
    </xf>
    <xf numFmtId="0" fontId="8" fillId="13" borderId="173" xfId="15" applyFont="1" applyFill="1" applyBorder="1" applyAlignment="1">
      <alignment horizontal="left" vertical="center" wrapText="1"/>
    </xf>
    <xf numFmtId="0" fontId="83" fillId="0" borderId="182" xfId="15" applyFont="1" applyBorder="1" applyAlignment="1">
      <alignment horizontal="left" vertical="center" wrapText="1"/>
    </xf>
    <xf numFmtId="0" fontId="83" fillId="0" borderId="17" xfId="15" applyFont="1" applyBorder="1" applyAlignment="1">
      <alignment horizontal="left" vertical="center" wrapText="1"/>
    </xf>
    <xf numFmtId="0" fontId="81" fillId="0" borderId="185" xfId="15" applyFont="1" applyBorder="1" applyAlignment="1">
      <alignment horizontal="center" vertical="center" wrapText="1"/>
    </xf>
    <xf numFmtId="0" fontId="81" fillId="0" borderId="5" xfId="15" applyFont="1" applyBorder="1" applyAlignment="1">
      <alignment horizontal="center" vertical="center" wrapText="1"/>
    </xf>
    <xf numFmtId="0" fontId="81" fillId="0" borderId="180" xfId="15" applyFont="1" applyBorder="1" applyAlignment="1">
      <alignment horizontal="center" vertical="center" wrapText="1"/>
    </xf>
    <xf numFmtId="0" fontId="84" fillId="0" borderId="19" xfId="15" applyFont="1" applyBorder="1" applyAlignment="1">
      <alignment horizontal="center" vertical="center" wrapText="1"/>
    </xf>
    <xf numFmtId="0" fontId="84" fillId="0" borderId="17" xfId="15" applyFont="1" applyBorder="1" applyAlignment="1">
      <alignment horizontal="center" vertical="center" wrapText="1"/>
    </xf>
    <xf numFmtId="0" fontId="84" fillId="0" borderId="14" xfId="15" applyFont="1" applyBorder="1" applyAlignment="1">
      <alignment horizontal="center" vertical="center" wrapText="1"/>
    </xf>
    <xf numFmtId="0" fontId="84" fillId="0" borderId="182" xfId="15" applyFont="1" applyBorder="1" applyAlignment="1">
      <alignment horizontal="center" vertical="center" wrapText="1"/>
    </xf>
    <xf numFmtId="0" fontId="84" fillId="0" borderId="18" xfId="15" applyFont="1" applyBorder="1" applyAlignment="1">
      <alignment horizontal="center" vertical="center" wrapText="1"/>
    </xf>
    <xf numFmtId="0" fontId="8" fillId="13" borderId="132" xfId="15" applyFont="1" applyFill="1" applyBorder="1" applyAlignment="1">
      <alignment horizontal="left" vertical="center" wrapText="1"/>
    </xf>
    <xf numFmtId="0" fontId="8" fillId="6" borderId="182" xfId="15" applyFont="1" applyFill="1" applyBorder="1" applyAlignment="1">
      <alignment horizontal="center" vertical="center" wrapText="1"/>
    </xf>
    <xf numFmtId="49" fontId="77" fillId="0" borderId="182" xfId="15" applyNumberFormat="1" applyFont="1" applyBorder="1" applyAlignment="1">
      <alignment horizontal="center" vertical="center" wrapText="1"/>
    </xf>
    <xf numFmtId="49" fontId="77" fillId="0" borderId="14" xfId="15" applyNumberFormat="1" applyFont="1" applyBorder="1" applyAlignment="1">
      <alignment horizontal="center" vertical="center" wrapText="1"/>
    </xf>
    <xf numFmtId="0" fontId="84" fillId="0" borderId="17" xfId="15" applyFont="1" applyFill="1" applyBorder="1" applyAlignment="1">
      <alignment horizontal="center" vertical="center" wrapText="1"/>
    </xf>
    <xf numFmtId="0" fontId="83" fillId="6" borderId="185" xfId="15" applyFont="1" applyFill="1" applyBorder="1" applyAlignment="1">
      <alignment horizontal="left" vertical="center" wrapText="1"/>
    </xf>
    <xf numFmtId="0" fontId="83" fillId="6" borderId="180" xfId="15" applyFont="1" applyFill="1" applyBorder="1" applyAlignment="1">
      <alignment horizontal="left" vertical="center" wrapText="1"/>
    </xf>
    <xf numFmtId="0" fontId="8" fillId="13" borderId="185" xfId="15" applyFont="1" applyFill="1" applyBorder="1" applyAlignment="1">
      <alignment horizontal="left" vertical="center" wrapText="1"/>
    </xf>
    <xf numFmtId="0" fontId="8" fillId="13" borderId="65" xfId="15" applyFont="1" applyFill="1" applyBorder="1" applyAlignment="1">
      <alignment horizontal="left" vertical="center"/>
    </xf>
    <xf numFmtId="0" fontId="8" fillId="13" borderId="186" xfId="15" applyFont="1" applyFill="1" applyBorder="1" applyAlignment="1">
      <alignment horizontal="left" vertical="center"/>
    </xf>
    <xf numFmtId="0" fontId="83" fillId="6" borderId="17" xfId="15" applyFont="1" applyFill="1" applyBorder="1" applyAlignment="1">
      <alignment horizontal="left" vertical="center" wrapText="1"/>
    </xf>
    <xf numFmtId="0" fontId="8" fillId="13" borderId="181" xfId="15" quotePrefix="1" applyFont="1" applyFill="1" applyBorder="1" applyAlignment="1">
      <alignment horizontal="left" vertical="center" wrapText="1"/>
    </xf>
    <xf numFmtId="0" fontId="81" fillId="0" borderId="34" xfId="15" applyFont="1" applyBorder="1" applyAlignment="1">
      <alignment horizontal="center" vertical="center" wrapText="1"/>
    </xf>
    <xf numFmtId="0" fontId="81" fillId="0" borderId="18" xfId="15" applyFont="1" applyBorder="1" applyAlignment="1">
      <alignment horizontal="center" vertical="center" wrapText="1"/>
    </xf>
    <xf numFmtId="0" fontId="8" fillId="13" borderId="55" xfId="15" applyFont="1" applyFill="1" applyBorder="1" applyAlignment="1">
      <alignment horizontal="left" vertical="center" wrapText="1"/>
    </xf>
    <xf numFmtId="0" fontId="8" fillId="13" borderId="69" xfId="15" quotePrefix="1" applyFont="1" applyFill="1" applyBorder="1" applyAlignment="1">
      <alignment horizontal="left" vertical="center" wrapText="1"/>
    </xf>
    <xf numFmtId="0" fontId="7" fillId="6" borderId="182" xfId="15" quotePrefix="1" applyFont="1" applyFill="1" applyBorder="1" applyAlignment="1">
      <alignment horizontal="center" vertical="center" wrapText="1"/>
    </xf>
    <xf numFmtId="0" fontId="7" fillId="6" borderId="14" xfId="15" quotePrefix="1" applyFont="1" applyFill="1" applyBorder="1" applyAlignment="1">
      <alignment horizontal="center" vertical="center" wrapText="1"/>
    </xf>
    <xf numFmtId="0" fontId="7" fillId="6" borderId="17" xfId="15" quotePrefix="1" applyFont="1" applyFill="1" applyBorder="1" applyAlignment="1">
      <alignment horizontal="center" vertical="center" wrapText="1"/>
    </xf>
    <xf numFmtId="0" fontId="7" fillId="6" borderId="18" xfId="15" quotePrefix="1" applyFont="1" applyFill="1" applyBorder="1" applyAlignment="1">
      <alignment horizontal="center" vertical="center" wrapText="1"/>
    </xf>
    <xf numFmtId="0" fontId="8" fillId="0" borderId="17" xfId="15" applyFont="1" applyBorder="1" applyAlignment="1">
      <alignment horizontal="center" vertical="center" wrapText="1"/>
    </xf>
    <xf numFmtId="0" fontId="8" fillId="13" borderId="181" xfId="1" applyFont="1" applyFill="1" applyBorder="1" applyAlignment="1">
      <alignment horizontal="left" vertical="center" wrapText="1"/>
    </xf>
    <xf numFmtId="0" fontId="8" fillId="13" borderId="0" xfId="1" applyFont="1" applyFill="1" applyBorder="1" applyAlignment="1">
      <alignment horizontal="left" vertical="center" wrapText="1"/>
    </xf>
    <xf numFmtId="0" fontId="8" fillId="13" borderId="177" xfId="1" applyFont="1" applyFill="1" applyBorder="1" applyAlignment="1">
      <alignment horizontal="left" vertical="center" wrapText="1"/>
    </xf>
    <xf numFmtId="0" fontId="8" fillId="13" borderId="176" xfId="1" applyFont="1" applyFill="1" applyBorder="1" applyAlignment="1">
      <alignment horizontal="left" vertical="center" wrapText="1"/>
    </xf>
    <xf numFmtId="0" fontId="90" fillId="13" borderId="162" xfId="1" applyFont="1" applyFill="1" applyBorder="1" applyAlignment="1">
      <alignment horizontal="left" vertical="center" wrapText="1"/>
    </xf>
    <xf numFmtId="0" fontId="90" fillId="13" borderId="0" xfId="1" applyFont="1" applyFill="1" applyBorder="1" applyAlignment="1">
      <alignment horizontal="left" vertical="center" wrapText="1"/>
    </xf>
    <xf numFmtId="0" fontId="90" fillId="6" borderId="182" xfId="1" applyFont="1" applyFill="1" applyBorder="1" applyAlignment="1">
      <alignment horizontal="center" vertical="center" wrapText="1"/>
    </xf>
    <xf numFmtId="0" fontId="90" fillId="6" borderId="18" xfId="1" applyFont="1" applyFill="1" applyBorder="1" applyAlignment="1">
      <alignment horizontal="center" vertical="center" wrapText="1"/>
    </xf>
    <xf numFmtId="0" fontId="32" fillId="6" borderId="182" xfId="1" applyFont="1" applyFill="1" applyBorder="1" applyAlignment="1">
      <alignment horizontal="left" vertical="center" wrapText="1"/>
    </xf>
    <xf numFmtId="0" fontId="32" fillId="6" borderId="18" xfId="1" applyFont="1" applyFill="1" applyBorder="1" applyAlignment="1">
      <alignment horizontal="left" vertical="center" wrapText="1"/>
    </xf>
    <xf numFmtId="0" fontId="77" fillId="6" borderId="19" xfId="1" applyFont="1" applyFill="1" applyBorder="1" applyAlignment="1">
      <alignment horizontal="center" vertical="center" wrapText="1"/>
    </xf>
    <xf numFmtId="0" fontId="77" fillId="6" borderId="17" xfId="1" applyFont="1" applyFill="1" applyBorder="1" applyAlignment="1">
      <alignment horizontal="center" vertical="center" wrapText="1"/>
    </xf>
    <xf numFmtId="0" fontId="8" fillId="13" borderId="162" xfId="1" applyFont="1" applyFill="1" applyBorder="1" applyAlignment="1">
      <alignment horizontal="left" vertical="center" wrapText="1"/>
    </xf>
    <xf numFmtId="0" fontId="90" fillId="13" borderId="174" xfId="1" applyFont="1" applyFill="1" applyBorder="1" applyAlignment="1">
      <alignment horizontal="left" vertical="center" wrapText="1"/>
    </xf>
    <xf numFmtId="0" fontId="90" fillId="13" borderId="132" xfId="1" applyFont="1" applyFill="1" applyBorder="1" applyAlignment="1">
      <alignment horizontal="left" vertical="center" wrapText="1"/>
    </xf>
    <xf numFmtId="0" fontId="32" fillId="6" borderId="182" xfId="1" applyFont="1" applyFill="1" applyBorder="1" applyAlignment="1">
      <alignment horizontal="center" vertical="center" wrapText="1"/>
    </xf>
    <xf numFmtId="0" fontId="32" fillId="6" borderId="14" xfId="1" applyFont="1" applyFill="1" applyBorder="1" applyAlignment="1">
      <alignment horizontal="center" vertical="center" wrapText="1"/>
    </xf>
    <xf numFmtId="0" fontId="90" fillId="6" borderId="17" xfId="1" applyFont="1" applyFill="1" applyBorder="1" applyAlignment="1">
      <alignment horizontal="center" vertical="center" wrapText="1"/>
    </xf>
    <xf numFmtId="0" fontId="90" fillId="13" borderId="181" xfId="1" applyFont="1" applyFill="1" applyBorder="1" applyAlignment="1">
      <alignment horizontal="left" vertical="center" wrapText="1"/>
    </xf>
    <xf numFmtId="0" fontId="84" fillId="6" borderId="17" xfId="1" applyFont="1" applyFill="1" applyBorder="1" applyAlignment="1">
      <alignment horizontal="center" vertical="center" wrapText="1"/>
    </xf>
    <xf numFmtId="0" fontId="90" fillId="13" borderId="177" xfId="1" applyFont="1" applyFill="1" applyBorder="1" applyAlignment="1">
      <alignment horizontal="left" vertical="center" wrapText="1"/>
    </xf>
    <xf numFmtId="0" fontId="90" fillId="13" borderId="178" xfId="1" applyFont="1" applyFill="1" applyBorder="1" applyAlignment="1">
      <alignment horizontal="left" vertical="center" wrapText="1"/>
    </xf>
    <xf numFmtId="0" fontId="90" fillId="13" borderId="65" xfId="1" applyFont="1" applyFill="1" applyBorder="1" applyAlignment="1">
      <alignment horizontal="left" vertical="center" wrapText="1"/>
    </xf>
    <xf numFmtId="0" fontId="90" fillId="13" borderId="186" xfId="1" applyFont="1" applyFill="1" applyBorder="1" applyAlignment="1">
      <alignment horizontal="left" vertical="center" wrapText="1"/>
    </xf>
    <xf numFmtId="0" fontId="90" fillId="13" borderId="73" xfId="1" applyFont="1" applyFill="1" applyBorder="1" applyAlignment="1">
      <alignment horizontal="left" vertical="center" wrapText="1"/>
    </xf>
    <xf numFmtId="0" fontId="90" fillId="13" borderId="63" xfId="1" applyFont="1" applyFill="1" applyBorder="1" applyAlignment="1">
      <alignment horizontal="left" vertical="center" wrapText="1"/>
    </xf>
    <xf numFmtId="0" fontId="90" fillId="13" borderId="10" xfId="1" applyFont="1" applyFill="1" applyBorder="1" applyAlignment="1">
      <alignment horizontal="left" vertical="center" wrapText="1"/>
    </xf>
    <xf numFmtId="0" fontId="90" fillId="13" borderId="118" xfId="1" applyFont="1" applyFill="1" applyBorder="1" applyAlignment="1">
      <alignment horizontal="left" vertical="center" wrapText="1"/>
    </xf>
    <xf numFmtId="0" fontId="90" fillId="13" borderId="176" xfId="1" applyFont="1" applyFill="1" applyBorder="1" applyAlignment="1">
      <alignment horizontal="left" vertical="center" wrapText="1"/>
    </xf>
    <xf numFmtId="0" fontId="90" fillId="13" borderId="184" xfId="1" applyFont="1" applyFill="1" applyBorder="1" applyAlignment="1">
      <alignment horizontal="left" vertical="center" wrapText="1"/>
    </xf>
    <xf numFmtId="0" fontId="90" fillId="13" borderId="185" xfId="1" applyFont="1" applyFill="1" applyBorder="1" applyAlignment="1">
      <alignment horizontal="left" vertical="center" wrapText="1"/>
    </xf>
    <xf numFmtId="0" fontId="84" fillId="6" borderId="19" xfId="1" applyFont="1" applyFill="1" applyBorder="1" applyAlignment="1">
      <alignment horizontal="center" vertical="center" wrapText="1"/>
    </xf>
    <xf numFmtId="0" fontId="83" fillId="0" borderId="18" xfId="15" applyFont="1" applyBorder="1" applyAlignment="1">
      <alignment horizontal="left" vertical="center" wrapText="1"/>
    </xf>
    <xf numFmtId="0" fontId="32" fillId="6" borderId="17" xfId="1" applyFont="1" applyFill="1" applyBorder="1" applyAlignment="1">
      <alignment horizontal="left" vertical="center" wrapText="1"/>
    </xf>
    <xf numFmtId="0" fontId="90" fillId="13" borderId="180" xfId="1" applyFont="1" applyFill="1" applyBorder="1" applyAlignment="1">
      <alignment horizontal="left" vertical="center" wrapText="1"/>
    </xf>
    <xf numFmtId="0" fontId="90" fillId="13" borderId="5" xfId="1" applyFont="1" applyFill="1" applyBorder="1" applyAlignment="1">
      <alignment horizontal="left" vertical="center" wrapText="1"/>
    </xf>
    <xf numFmtId="0" fontId="90" fillId="13" borderId="173" xfId="1" applyFont="1" applyFill="1" applyBorder="1" applyAlignment="1">
      <alignment horizontal="left" vertical="center" wrapText="1"/>
    </xf>
    <xf numFmtId="0" fontId="82" fillId="6" borderId="182" xfId="1" applyFont="1" applyFill="1" applyBorder="1" applyAlignment="1">
      <alignment horizontal="center" vertical="center" wrapText="1"/>
    </xf>
    <xf numFmtId="0" fontId="82" fillId="6" borderId="18" xfId="1" applyFont="1" applyFill="1" applyBorder="1" applyAlignment="1">
      <alignment horizontal="center" vertical="center" wrapText="1"/>
    </xf>
    <xf numFmtId="0" fontId="90" fillId="0" borderId="190" xfId="1" applyFont="1" applyFill="1" applyBorder="1" applyAlignment="1">
      <alignment horizontal="center" vertical="center" wrapText="1"/>
    </xf>
    <xf numFmtId="0" fontId="90" fillId="0" borderId="173" xfId="1" applyFont="1" applyFill="1" applyBorder="1" applyAlignment="1">
      <alignment horizontal="center" vertical="center" wrapText="1"/>
    </xf>
    <xf numFmtId="0" fontId="84" fillId="0" borderId="17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93" fillId="13" borderId="177" xfId="1" applyFont="1" applyFill="1" applyBorder="1" applyAlignment="1">
      <alignment horizontal="left" vertical="center"/>
    </xf>
    <xf numFmtId="0" fontId="93" fillId="13" borderId="176" xfId="1" applyFont="1" applyFill="1" applyBorder="1" applyAlignment="1">
      <alignment horizontal="left" vertical="center"/>
    </xf>
    <xf numFmtId="0" fontId="93" fillId="13" borderId="178" xfId="1" applyFont="1" applyFill="1" applyBorder="1" applyAlignment="1">
      <alignment horizontal="left" vertical="center"/>
    </xf>
    <xf numFmtId="0" fontId="93" fillId="13" borderId="174" xfId="1" applyFont="1" applyFill="1" applyBorder="1" applyAlignment="1">
      <alignment horizontal="left" vertical="center"/>
    </xf>
    <xf numFmtId="0" fontId="93" fillId="13" borderId="132" xfId="1" applyFont="1" applyFill="1" applyBorder="1" applyAlignment="1">
      <alignment horizontal="left" vertical="center"/>
    </xf>
    <xf numFmtId="0" fontId="93" fillId="13" borderId="118" xfId="1" applyFont="1" applyFill="1" applyBorder="1" applyAlignment="1">
      <alignment horizontal="left" vertical="center"/>
    </xf>
    <xf numFmtId="0" fontId="93" fillId="13" borderId="65" xfId="1" applyFont="1" applyFill="1" applyBorder="1" applyAlignment="1">
      <alignment horizontal="left" vertical="center"/>
    </xf>
    <xf numFmtId="0" fontId="93" fillId="13" borderId="73" xfId="1" applyFont="1" applyFill="1" applyBorder="1" applyAlignment="1">
      <alignment horizontal="left" vertical="center"/>
    </xf>
    <xf numFmtId="0" fontId="93" fillId="13" borderId="186" xfId="1" applyFont="1" applyFill="1" applyBorder="1" applyAlignment="1">
      <alignment horizontal="left" vertical="center"/>
    </xf>
    <xf numFmtId="0" fontId="86" fillId="13" borderId="181" xfId="1" applyFont="1" applyFill="1" applyBorder="1" applyAlignment="1">
      <alignment horizontal="left" vertical="center" wrapText="1"/>
    </xf>
    <xf numFmtId="0" fontId="12" fillId="0" borderId="17" xfId="1" applyFont="1" applyFill="1" applyBorder="1" applyAlignment="1">
      <alignment horizontal="center" vertical="center" wrapText="1"/>
    </xf>
    <xf numFmtId="49" fontId="73" fillId="14" borderId="96" xfId="10" applyNumberFormat="1" applyFont="1" applyFill="1" applyBorder="1" applyAlignment="1" applyProtection="1">
      <alignment horizontal="left" vertical="center" wrapText="1"/>
      <protection locked="0"/>
    </xf>
    <xf numFmtId="49" fontId="73" fillId="14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5" xfId="10" applyNumberFormat="1" applyFont="1" applyFill="1" applyBorder="1" applyAlignment="1" applyProtection="1">
      <alignment horizontal="center" vertical="center" wrapText="1"/>
      <protection locked="0"/>
    </xf>
    <xf numFmtId="0" fontId="68" fillId="0" borderId="0" xfId="10" applyNumberFormat="1" applyFont="1" applyFill="1" applyBorder="1" applyAlignment="1" applyProtection="1">
      <alignment horizontal="right" vertical="center" wrapText="1"/>
      <protection locked="0"/>
    </xf>
    <xf numFmtId="0" fontId="68" fillId="0" borderId="0" xfId="10" applyNumberFormat="1" applyFont="1" applyFill="1" applyBorder="1" applyAlignment="1" applyProtection="1">
      <alignment horizontal="right" vertical="center"/>
      <protection locked="0"/>
    </xf>
    <xf numFmtId="49" fontId="69" fillId="14" borderId="0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76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77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85" xfId="10" applyNumberFormat="1" applyFont="1" applyFill="1" applyBorder="1" applyAlignment="1" applyProtection="1">
      <alignment horizontal="center" vertical="center" wrapText="1"/>
      <protection locked="0"/>
    </xf>
    <xf numFmtId="49" fontId="71" fillId="15" borderId="86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0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1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4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5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00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96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6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01" xfId="10" applyNumberFormat="1" applyFont="1" applyFill="1" applyBorder="1" applyAlignment="1" applyProtection="1">
      <alignment horizontal="left" vertical="center" wrapText="1"/>
      <protection locked="0"/>
    </xf>
    <xf numFmtId="0" fontId="73" fillId="0" borderId="96" xfId="10" applyNumberFormat="1" applyFont="1" applyFill="1" applyBorder="1" applyAlignment="1" applyProtection="1">
      <alignment horizontal="left" vertical="center"/>
      <protection locked="0"/>
    </xf>
    <xf numFmtId="0" fontId="73" fillId="0" borderId="102" xfId="10" applyNumberFormat="1" applyFont="1" applyFill="1" applyBorder="1" applyAlignment="1" applyProtection="1">
      <alignment horizontal="left" vertical="center"/>
      <protection locked="0"/>
    </xf>
    <xf numFmtId="49" fontId="67" fillId="0" borderId="97" xfId="10" applyNumberFormat="1" applyFont="1" applyFill="1" applyBorder="1" applyAlignment="1" applyProtection="1">
      <alignment horizontal="left" vertical="center" wrapText="1"/>
      <protection locked="0"/>
    </xf>
    <xf numFmtId="0" fontId="73" fillId="0" borderId="97" xfId="10" applyNumberFormat="1" applyFont="1" applyFill="1" applyBorder="1" applyAlignment="1" applyProtection="1">
      <alignment horizontal="left" vertical="center"/>
      <protection locked="0"/>
    </xf>
    <xf numFmtId="49" fontId="67" fillId="14" borderId="96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7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96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7" xfId="10" applyNumberFormat="1" applyFont="1" applyFill="1" applyBorder="1" applyAlignment="1" applyProtection="1">
      <alignment horizontal="center" vertical="center" wrapText="1"/>
      <protection locked="0"/>
    </xf>
    <xf numFmtId="0" fontId="74" fillId="0" borderId="101" xfId="0" applyFont="1" applyBorder="1" applyAlignment="1">
      <alignment horizontal="left" vertical="center" wrapText="1"/>
    </xf>
    <xf numFmtId="49" fontId="67" fillId="0" borderId="90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8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9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1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0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1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13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90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91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67" fillId="0" borderId="104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9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73" fillId="14" borderId="94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96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97" xfId="10" applyNumberFormat="1" applyFont="1" applyFill="1" applyBorder="1" applyAlignment="1" applyProtection="1">
      <alignment horizontal="left" vertical="center" wrapText="1"/>
      <protection locked="0"/>
    </xf>
    <xf numFmtId="49" fontId="67" fillId="17" borderId="94" xfId="10" applyNumberFormat="1" applyFont="1" applyFill="1" applyBorder="1" applyAlignment="1" applyProtection="1">
      <alignment horizontal="center" vertical="center" wrapText="1"/>
      <protection locked="0"/>
    </xf>
    <xf numFmtId="0" fontId="0" fillId="6" borderId="95" xfId="0" applyFill="1" applyBorder="1" applyAlignment="1">
      <alignment horizontal="center" vertical="center" wrapText="1"/>
    </xf>
    <xf numFmtId="0" fontId="0" fillId="6" borderId="99" xfId="0" applyFill="1" applyBorder="1" applyAlignment="1">
      <alignment horizontal="center" vertical="center" wrapText="1"/>
    </xf>
    <xf numFmtId="0" fontId="0" fillId="6" borderId="100" xfId="0" applyFill="1" applyBorder="1" applyAlignment="1">
      <alignment horizontal="center" vertical="center" wrapText="1"/>
    </xf>
    <xf numFmtId="49" fontId="67" fillId="14" borderId="96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16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0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1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6" xfId="10" applyNumberFormat="1" applyFont="1" applyFill="1" applyBorder="1" applyAlignment="1" applyProtection="1">
      <alignment vertical="center" wrapText="1"/>
      <protection locked="0"/>
    </xf>
    <xf numFmtId="0" fontId="0" fillId="0" borderId="97" xfId="0" applyFont="1" applyBorder="1" applyAlignment="1">
      <alignment vertical="center" wrapText="1"/>
    </xf>
    <xf numFmtId="49" fontId="73" fillId="0" borderId="96" xfId="10" applyNumberFormat="1" applyFont="1" applyFill="1" applyBorder="1" applyAlignment="1" applyProtection="1">
      <alignment vertical="center" wrapText="1"/>
      <protection locked="0"/>
    </xf>
    <xf numFmtId="0" fontId="74" fillId="0" borderId="97" xfId="0" applyFont="1" applyBorder="1" applyAlignment="1">
      <alignment vertical="center" wrapText="1"/>
    </xf>
    <xf numFmtId="49" fontId="67" fillId="0" borderId="102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4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6" borderId="95" xfId="0" applyFill="1" applyBorder="1" applyAlignment="1">
      <alignment vertical="center" wrapText="1"/>
    </xf>
    <xf numFmtId="0" fontId="0" fillId="6" borderId="99" xfId="0" applyFill="1" applyBorder="1" applyAlignment="1">
      <alignment vertical="center" wrapText="1"/>
    </xf>
    <xf numFmtId="0" fontId="0" fillId="6" borderId="100" xfId="0" applyFill="1" applyBorder="1" applyAlignment="1">
      <alignment vertical="center" wrapText="1"/>
    </xf>
    <xf numFmtId="0" fontId="0" fillId="0" borderId="99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0" fontId="0" fillId="0" borderId="90" xfId="0" applyBorder="1" applyAlignment="1">
      <alignment vertical="center" wrapText="1"/>
    </xf>
    <xf numFmtId="0" fontId="0" fillId="0" borderId="91" xfId="0" applyBorder="1" applyAlignment="1">
      <alignment vertical="center" wrapText="1"/>
    </xf>
    <xf numFmtId="49" fontId="71" fillId="0" borderId="94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10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4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4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121" xfId="10" applyNumberFormat="1" applyFont="1" applyFill="1" applyBorder="1" applyAlignment="1" applyProtection="1">
      <alignment horizontal="left" vertical="center" wrapText="1"/>
      <protection locked="0"/>
    </xf>
    <xf numFmtId="0" fontId="66" fillId="0" borderId="122" xfId="0" applyFont="1" applyBorder="1" applyAlignment="1">
      <alignment horizontal="left" vertical="center" wrapText="1"/>
    </xf>
    <xf numFmtId="49" fontId="72" fillId="17" borderId="94" xfId="10" applyNumberFormat="1" applyFont="1" applyFill="1" applyBorder="1" applyAlignment="1" applyProtection="1">
      <alignment horizontal="center" vertical="center" wrapText="1"/>
      <protection locked="0"/>
    </xf>
    <xf numFmtId="0" fontId="0" fillId="6" borderId="0" xfId="0" applyFill="1" applyBorder="1" applyAlignment="1">
      <alignment horizontal="center" vertical="center" wrapText="1"/>
    </xf>
    <xf numFmtId="49" fontId="71" fillId="17" borderId="9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7" xfId="0" applyFont="1" applyBorder="1" applyAlignment="1">
      <alignment horizontal="left" vertical="center" wrapText="1"/>
    </xf>
    <xf numFmtId="49" fontId="67" fillId="17" borderId="96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5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97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05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125" xfId="10" applyNumberFormat="1" applyFont="1" applyFill="1" applyBorder="1" applyAlignment="1" applyProtection="1">
      <alignment horizontal="left" vertical="center" wrapText="1"/>
      <protection locked="0"/>
    </xf>
    <xf numFmtId="49" fontId="73" fillId="14" borderId="121" xfId="10" applyNumberFormat="1" applyFont="1" applyFill="1" applyBorder="1" applyAlignment="1" applyProtection="1">
      <alignment horizontal="left" vertical="center" wrapText="1"/>
      <protection locked="0"/>
    </xf>
    <xf numFmtId="49" fontId="73" fillId="14" borderId="122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2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3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18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133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5" xfId="10" applyNumberFormat="1" applyFont="1" applyFill="1" applyBorder="1" applyAlignment="1" applyProtection="1">
      <alignment horizontal="left" vertical="center" wrapText="1"/>
      <protection locked="0"/>
    </xf>
    <xf numFmtId="49" fontId="73" fillId="14" borderId="133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90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91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11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03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23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9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36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89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137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138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4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1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71" fillId="0" borderId="142" xfId="10" applyNumberFormat="1" applyFont="1" applyFill="1" applyBorder="1" applyAlignment="1" applyProtection="1">
      <alignment horizontal="left" vertical="center" wrapText="1"/>
      <protection locked="0"/>
    </xf>
    <xf numFmtId="49" fontId="71" fillId="0" borderId="125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150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25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5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45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52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02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5" xfId="0" applyBorder="1" applyAlignment="1">
      <alignment horizontal="center" vertical="center" wrapText="1"/>
    </xf>
    <xf numFmtId="0" fontId="66" fillId="0" borderId="97" xfId="0" applyFont="1" applyBorder="1" applyAlignment="1">
      <alignment horizontal="left" vertical="center" wrapText="1"/>
    </xf>
    <xf numFmtId="49" fontId="72" fillId="16" borderId="105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46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47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45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48" xfId="0" applyBorder="1" applyAlignment="1">
      <alignment horizontal="center" vertical="center" wrapText="1"/>
    </xf>
    <xf numFmtId="0" fontId="0" fillId="0" borderId="149" xfId="0" applyBorder="1" applyAlignment="1">
      <alignment horizontal="center" vertical="center" wrapText="1"/>
    </xf>
    <xf numFmtId="49" fontId="71" fillId="0" borderId="102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2" xfId="10" applyNumberFormat="1" applyFont="1" applyFill="1" applyBorder="1" applyAlignment="1" applyProtection="1">
      <alignment horizontal="left" vertical="center" wrapText="1"/>
      <protection locked="0"/>
    </xf>
    <xf numFmtId="49" fontId="71" fillId="15" borderId="153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48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49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21" xfId="10" applyNumberFormat="1" applyFont="1" applyFill="1" applyBorder="1" applyAlignment="1" applyProtection="1">
      <alignment vertical="center" wrapText="1"/>
      <protection locked="0"/>
    </xf>
    <xf numFmtId="0" fontId="0" fillId="0" borderId="132" xfId="0" applyBorder="1" applyAlignment="1">
      <alignment vertical="center" wrapText="1"/>
    </xf>
    <xf numFmtId="0" fontId="0" fillId="0" borderId="118" xfId="0" applyBorder="1" applyAlignment="1">
      <alignment vertical="center" wrapText="1"/>
    </xf>
    <xf numFmtId="0" fontId="0" fillId="0" borderId="97" xfId="0" applyBorder="1" applyAlignment="1">
      <alignment horizontal="left" vertical="center" wrapText="1"/>
    </xf>
    <xf numFmtId="0" fontId="67" fillId="0" borderId="146" xfId="10" applyNumberFormat="1" applyFont="1" applyFill="1" applyBorder="1" applyAlignment="1" applyProtection="1">
      <alignment horizontal="center" vertical="center"/>
      <protection locked="0"/>
    </xf>
    <xf numFmtId="0" fontId="67" fillId="0" borderId="141" xfId="10" applyNumberFormat="1" applyFont="1" applyFill="1" applyBorder="1" applyAlignment="1" applyProtection="1">
      <alignment horizontal="center" vertical="center"/>
      <protection locked="0"/>
    </xf>
    <xf numFmtId="0" fontId="67" fillId="0" borderId="119" xfId="10" applyNumberFormat="1" applyFont="1" applyFill="1" applyBorder="1" applyAlignment="1" applyProtection="1">
      <alignment horizontal="center" vertical="center"/>
      <protection locked="0"/>
    </xf>
    <xf numFmtId="49" fontId="67" fillId="0" borderId="103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94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37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38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5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9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30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95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0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141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147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72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04" xfId="10" applyNumberFormat="1" applyFont="1" applyFill="1" applyBorder="1" applyAlignment="1" applyProtection="1">
      <alignment horizontal="left" vertical="center" wrapText="1"/>
      <protection locked="0"/>
    </xf>
    <xf numFmtId="49" fontId="72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132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122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44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60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76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77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12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133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97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51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64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52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65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162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149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163" xfId="10" applyNumberFormat="1" applyFont="1" applyFill="1" applyBorder="1" applyAlignment="1" applyProtection="1">
      <alignment horizontal="center" vertical="center" wrapText="1"/>
      <protection locked="0"/>
    </xf>
    <xf numFmtId="49" fontId="71" fillId="12" borderId="96" xfId="10" applyNumberFormat="1" applyFont="1" applyFill="1" applyBorder="1" applyAlignment="1" applyProtection="1">
      <alignment horizontal="center" vertical="center" wrapText="1"/>
      <protection locked="0"/>
    </xf>
    <xf numFmtId="49" fontId="71" fillId="12" borderId="97" xfId="10" applyNumberFormat="1" applyFont="1" applyFill="1" applyBorder="1" applyAlignment="1" applyProtection="1">
      <alignment horizontal="center" vertical="center" wrapText="1"/>
      <protection locked="0"/>
    </xf>
    <xf numFmtId="49" fontId="71" fillId="17" borderId="99" xfId="10" applyNumberFormat="1" applyFont="1" applyFill="1" applyBorder="1" applyAlignment="1" applyProtection="1">
      <alignment horizontal="center" vertical="center" wrapText="1"/>
      <protection locked="0"/>
    </xf>
    <xf numFmtId="49" fontId="73" fillId="17" borderId="96" xfId="10" applyNumberFormat="1" applyFont="1" applyFill="1" applyBorder="1" applyAlignment="1" applyProtection="1">
      <alignment horizontal="left" vertical="center" wrapText="1"/>
      <protection locked="0"/>
    </xf>
    <xf numFmtId="0" fontId="74" fillId="0" borderId="97" xfId="0" applyFont="1" applyBorder="1" applyAlignment="1">
      <alignment horizontal="left" vertical="center" wrapText="1"/>
    </xf>
    <xf numFmtId="49" fontId="67" fillId="14" borderId="101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90" xfId="10" applyNumberFormat="1" applyFont="1" applyFill="1" applyBorder="1" applyAlignment="1" applyProtection="1">
      <alignment horizontal="center" vertical="center" wrapText="1"/>
      <protection locked="0"/>
    </xf>
    <xf numFmtId="49" fontId="72" fillId="12" borderId="91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94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104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99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37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38" xfId="10" applyNumberFormat="1" applyFont="1" applyFill="1" applyBorder="1" applyAlignment="1" applyProtection="1">
      <alignment horizontal="left" vertical="center" wrapText="1"/>
      <protection locked="0"/>
    </xf>
    <xf numFmtId="0" fontId="73" fillId="0" borderId="121" xfId="10" applyNumberFormat="1" applyFont="1" applyFill="1" applyBorder="1" applyAlignment="1" applyProtection="1">
      <alignment horizontal="left" vertical="center"/>
      <protection locked="0"/>
    </xf>
    <xf numFmtId="0" fontId="73" fillId="0" borderId="166" xfId="10" applyNumberFormat="1" applyFont="1" applyFill="1" applyBorder="1" applyAlignment="1" applyProtection="1">
      <alignment horizontal="left" vertical="center"/>
      <protection locked="0"/>
    </xf>
    <xf numFmtId="2" fontId="67" fillId="0" borderId="0" xfId="10" applyNumberFormat="1" applyFont="1" applyFill="1" applyBorder="1" applyAlignment="1" applyProtection="1">
      <alignment horizontal="center" vertical="center" wrapText="1"/>
      <protection locked="0"/>
    </xf>
    <xf numFmtId="2" fontId="67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73" fillId="14" borderId="150" xfId="10" applyNumberFormat="1" applyFont="1" applyFill="1" applyBorder="1" applyAlignment="1" applyProtection="1">
      <alignment horizontal="left" vertical="center" wrapText="1"/>
      <protection locked="0"/>
    </xf>
    <xf numFmtId="49" fontId="73" fillId="14" borderId="125" xfId="10" applyNumberFormat="1" applyFont="1" applyFill="1" applyBorder="1" applyAlignment="1" applyProtection="1">
      <alignment horizontal="left" vertical="center" wrapText="1"/>
      <protection locked="0"/>
    </xf>
    <xf numFmtId="0" fontId="67" fillId="0" borderId="145" xfId="10" applyNumberFormat="1" applyFont="1" applyFill="1" applyBorder="1" applyAlignment="1" applyProtection="1">
      <alignment horizontal="center" vertical="center"/>
      <protection locked="0"/>
    </xf>
    <xf numFmtId="0" fontId="67" fillId="0" borderId="0" xfId="10" applyNumberFormat="1" applyFont="1" applyFill="1" applyBorder="1" applyAlignment="1" applyProtection="1">
      <alignment horizontal="center" vertical="center"/>
      <protection locked="0"/>
    </xf>
    <xf numFmtId="0" fontId="67" fillId="0" borderId="5" xfId="10" applyNumberFormat="1" applyFont="1" applyFill="1" applyBorder="1" applyAlignment="1" applyProtection="1">
      <alignment horizontal="center" vertical="center"/>
      <protection locked="0"/>
    </xf>
    <xf numFmtId="49" fontId="67" fillId="14" borderId="150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25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50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25" xfId="10" applyNumberFormat="1" applyFont="1" applyFill="1" applyBorder="1" applyAlignment="1" applyProtection="1">
      <alignment horizontal="left" vertical="center" wrapText="1"/>
      <protection locked="0"/>
    </xf>
    <xf numFmtId="0" fontId="73" fillId="0" borderId="90" xfId="10" applyNumberFormat="1" applyFont="1" applyFill="1" applyBorder="1" applyAlignment="1" applyProtection="1">
      <alignment horizontal="left" vertical="center"/>
      <protection locked="0"/>
    </xf>
    <xf numFmtId="0" fontId="73" fillId="0" borderId="91" xfId="10" applyNumberFormat="1" applyFont="1" applyFill="1" applyBorder="1" applyAlignment="1" applyProtection="1">
      <alignment horizontal="left" vertical="center"/>
      <protection locked="0"/>
    </xf>
    <xf numFmtId="49" fontId="67" fillId="14" borderId="103" xfId="10" applyNumberFormat="1" applyFont="1" applyFill="1" applyBorder="1" applyAlignment="1" applyProtection="1">
      <alignment horizontal="left" vertical="center" wrapText="1"/>
      <protection locked="0"/>
    </xf>
    <xf numFmtId="49" fontId="72" fillId="16" borderId="94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95" xfId="10" applyNumberFormat="1" applyFont="1" applyFill="1" applyBorder="1" applyAlignment="1" applyProtection="1">
      <alignment horizontal="center" vertical="center" wrapText="1"/>
      <protection locked="0"/>
    </xf>
    <xf numFmtId="49" fontId="71" fillId="19" borderId="85" xfId="10" applyNumberFormat="1" applyFont="1" applyFill="1" applyBorder="1" applyAlignment="1" applyProtection="1">
      <alignment horizontal="center" vertical="center" wrapText="1"/>
      <protection locked="0"/>
    </xf>
    <xf numFmtId="49" fontId="71" fillId="19" borderId="86" xfId="10" applyNumberFormat="1" applyFont="1" applyFill="1" applyBorder="1" applyAlignment="1" applyProtection="1">
      <alignment horizontal="center" vertical="center" wrapText="1"/>
      <protection locked="0"/>
    </xf>
    <xf numFmtId="49" fontId="73" fillId="0" borderId="137" xfId="10" applyNumberFormat="1" applyFont="1" applyFill="1" applyBorder="1" applyAlignment="1" applyProtection="1">
      <alignment horizontal="left" vertical="center" wrapText="1"/>
      <protection locked="0"/>
    </xf>
    <xf numFmtId="49" fontId="73" fillId="0" borderId="167" xfId="10" applyNumberFormat="1" applyFont="1" applyFill="1" applyBorder="1" applyAlignment="1" applyProtection="1">
      <alignment horizontal="left" vertical="center" wrapText="1"/>
      <protection locked="0"/>
    </xf>
    <xf numFmtId="49" fontId="71" fillId="14" borderId="101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01" xfId="10" applyNumberFormat="1" applyFont="1" applyFill="1" applyBorder="1" applyAlignment="1" applyProtection="1">
      <alignment horizontal="left" vertical="center" wrapText="1"/>
      <protection locked="0"/>
    </xf>
    <xf numFmtId="49" fontId="67" fillId="17" borderId="99" xfId="10" applyNumberFormat="1" applyFont="1" applyFill="1" applyBorder="1" applyAlignment="1" applyProtection="1">
      <alignment horizontal="center" vertical="center" wrapText="1"/>
      <protection locked="0"/>
    </xf>
    <xf numFmtId="49" fontId="67" fillId="17" borderId="100" xfId="10" applyNumberFormat="1" applyFont="1" applyFill="1" applyBorder="1" applyAlignment="1" applyProtection="1">
      <alignment horizontal="center" vertical="center" wrapText="1"/>
      <protection locked="0"/>
    </xf>
    <xf numFmtId="49" fontId="67" fillId="0" borderId="163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163" xfId="10" applyNumberFormat="1" applyFont="1" applyFill="1" applyBorder="1" applyAlignment="1" applyProtection="1">
      <alignment horizontal="left" vertical="center" wrapText="1"/>
      <protection locked="0"/>
    </xf>
    <xf numFmtId="49" fontId="67" fillId="14" borderId="61" xfId="10" applyNumberFormat="1" applyFont="1" applyFill="1" applyBorder="1" applyAlignment="1" applyProtection="1">
      <alignment horizontal="center" vertical="center" wrapText="1"/>
      <protection locked="0"/>
    </xf>
    <xf numFmtId="49" fontId="72" fillId="16" borderId="162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41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47" xfId="10" applyNumberFormat="1" applyFont="1" applyFill="1" applyBorder="1" applyAlignment="1" applyProtection="1">
      <alignment horizontal="center" vertical="center" wrapText="1"/>
      <protection locked="0"/>
    </xf>
    <xf numFmtId="49" fontId="67" fillId="14" borderId="1" xfId="10" applyNumberFormat="1" applyFont="1" applyFill="1" applyBorder="1" applyAlignment="1" applyProtection="1">
      <alignment horizontal="center" vertical="center" wrapText="1"/>
      <protection locked="0"/>
    </xf>
    <xf numFmtId="49" fontId="71" fillId="0" borderId="152" xfId="10" applyNumberFormat="1" applyFont="1" applyFill="1" applyBorder="1" applyAlignment="1" applyProtection="1">
      <alignment horizontal="left" vertical="center" wrapText="1"/>
      <protection locked="0"/>
    </xf>
    <xf numFmtId="49" fontId="67" fillId="0" borderId="172" xfId="10" applyNumberFormat="1" applyFont="1" applyFill="1" applyBorder="1" applyAlignment="1" applyProtection="1">
      <alignment horizontal="left" vertical="center" wrapText="1"/>
      <protection locked="0"/>
    </xf>
    <xf numFmtId="0" fontId="73" fillId="0" borderId="152" xfId="10" applyNumberFormat="1" applyFont="1" applyFill="1" applyBorder="1" applyAlignment="1" applyProtection="1">
      <alignment horizontal="left" vertical="center"/>
      <protection locked="0"/>
    </xf>
    <xf numFmtId="0" fontId="9" fillId="12" borderId="9" xfId="1" applyFont="1" applyFill="1" applyBorder="1" applyAlignment="1">
      <alignment horizontal="left" vertical="center"/>
    </xf>
    <xf numFmtId="0" fontId="72" fillId="12" borderId="13" xfId="10" applyNumberFormat="1" applyFont="1" applyFill="1" applyBorder="1" applyAlignment="1" applyProtection="1">
      <alignment horizontal="left" vertical="center"/>
      <protection locked="0"/>
    </xf>
    <xf numFmtId="0" fontId="72" fillId="12" borderId="24" xfId="10" applyNumberFormat="1" applyFont="1" applyFill="1" applyBorder="1" applyAlignment="1" applyProtection="1">
      <alignment horizontal="left" vertical="center"/>
      <protection locked="0"/>
    </xf>
    <xf numFmtId="0" fontId="7" fillId="0" borderId="173" xfId="1" applyFont="1" applyFill="1" applyBorder="1" applyAlignment="1">
      <alignment horizontal="left" vertical="center"/>
    </xf>
    <xf numFmtId="0" fontId="67" fillId="0" borderId="162" xfId="10" applyNumberFormat="1" applyFont="1" applyFill="1" applyBorder="1" applyAlignment="1" applyProtection="1">
      <alignment horizontal="left" vertical="center"/>
      <protection locked="0"/>
    </xf>
    <xf numFmtId="0" fontId="67" fillId="0" borderId="149" xfId="10" applyNumberFormat="1" applyFont="1" applyFill="1" applyBorder="1" applyAlignment="1" applyProtection="1">
      <alignment horizontal="left" vertical="center"/>
      <protection locked="0"/>
    </xf>
    <xf numFmtId="0" fontId="8" fillId="0" borderId="174" xfId="1" applyFont="1" applyFill="1" applyBorder="1" applyAlignment="1">
      <alignment horizontal="left" vertical="center" wrapText="1"/>
    </xf>
    <xf numFmtId="0" fontId="73" fillId="0" borderId="132" xfId="10" applyNumberFormat="1" applyFont="1" applyFill="1" applyBorder="1" applyAlignment="1" applyProtection="1">
      <alignment horizontal="left" vertical="center"/>
      <protection locked="0"/>
    </xf>
    <xf numFmtId="0" fontId="73" fillId="0" borderId="122" xfId="10" applyNumberFormat="1" applyFont="1" applyFill="1" applyBorder="1" applyAlignment="1" applyProtection="1">
      <alignment horizontal="left" vertical="center"/>
      <protection locked="0"/>
    </xf>
    <xf numFmtId="0" fontId="7" fillId="0" borderId="174" xfId="1" applyFont="1" applyFill="1" applyBorder="1" applyAlignment="1">
      <alignment horizontal="left" vertical="center"/>
    </xf>
    <xf numFmtId="0" fontId="67" fillId="0" borderId="132" xfId="10" applyNumberFormat="1" applyFont="1" applyFill="1" applyBorder="1" applyAlignment="1" applyProtection="1">
      <alignment horizontal="left" vertical="center"/>
      <protection locked="0"/>
    </xf>
    <xf numFmtId="0" fontId="67" fillId="0" borderId="122" xfId="10" applyNumberFormat="1" applyFont="1" applyFill="1" applyBorder="1" applyAlignment="1" applyProtection="1">
      <alignment horizontal="left" vertical="center"/>
      <protection locked="0"/>
    </xf>
    <xf numFmtId="0" fontId="7" fillId="0" borderId="65" xfId="1" applyFont="1" applyFill="1" applyBorder="1" applyAlignment="1">
      <alignment horizontal="left" vertical="center"/>
    </xf>
    <xf numFmtId="0" fontId="67" fillId="0" borderId="73" xfId="10" applyNumberFormat="1" applyFont="1" applyFill="1" applyBorder="1" applyAlignment="1" applyProtection="1">
      <alignment horizontal="left" vertical="center"/>
      <protection locked="0"/>
    </xf>
    <xf numFmtId="0" fontId="67" fillId="0" borderId="68" xfId="10" applyNumberFormat="1" applyFont="1" applyFill="1" applyBorder="1" applyAlignment="1" applyProtection="1">
      <alignment horizontal="left" vertical="center"/>
      <protection locked="0"/>
    </xf>
    <xf numFmtId="0" fontId="7" fillId="0" borderId="174" xfId="1" applyFont="1" applyFill="1" applyBorder="1" applyAlignment="1">
      <alignment horizontal="left" vertical="center" wrapText="1"/>
    </xf>
    <xf numFmtId="0" fontId="7" fillId="0" borderId="175" xfId="1" applyFont="1" applyFill="1" applyBorder="1" applyAlignment="1">
      <alignment horizontal="left" vertical="center"/>
    </xf>
    <xf numFmtId="0" fontId="67" fillId="0" borderId="141" xfId="10" applyNumberFormat="1" applyFont="1" applyFill="1" applyBorder="1" applyAlignment="1" applyProtection="1">
      <alignment horizontal="left" vertical="center"/>
      <protection locked="0"/>
    </xf>
    <xf numFmtId="0" fontId="67" fillId="0" borderId="147" xfId="10" applyNumberFormat="1" applyFont="1" applyFill="1" applyBorder="1" applyAlignment="1" applyProtection="1">
      <alignment horizontal="left" vertical="center"/>
      <protection locked="0"/>
    </xf>
    <xf numFmtId="49" fontId="71" fillId="15" borderId="31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6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0" xfId="10" applyNumberFormat="1" applyFont="1" applyFill="1" applyBorder="1" applyAlignment="1" applyProtection="1">
      <alignment horizontal="center" vertical="center" wrapText="1"/>
      <protection locked="0"/>
    </xf>
    <xf numFmtId="49" fontId="71" fillId="14" borderId="5" xfId="10" applyNumberFormat="1" applyFont="1" applyFill="1" applyBorder="1" applyAlignment="1" applyProtection="1">
      <alignment horizontal="center" vertical="center" wrapText="1"/>
      <protection locked="0"/>
    </xf>
    <xf numFmtId="49" fontId="71" fillId="19" borderId="31" xfId="10" applyNumberFormat="1" applyFont="1" applyFill="1" applyBorder="1" applyAlignment="1" applyProtection="1">
      <alignment horizontal="center" vertical="top" wrapText="1"/>
      <protection locked="0"/>
    </xf>
    <xf numFmtId="49" fontId="71" fillId="19" borderId="153" xfId="10" applyNumberFormat="1" applyFont="1" applyFill="1" applyBorder="1" applyAlignment="1" applyProtection="1">
      <alignment horizontal="center" vertical="top" wrapText="1"/>
      <protection locked="0"/>
    </xf>
    <xf numFmtId="49" fontId="9" fillId="12" borderId="31" xfId="1" applyNumberFormat="1" applyFont="1" applyFill="1" applyBorder="1" applyAlignment="1">
      <alignment horizontal="left" vertical="center"/>
    </xf>
    <xf numFmtId="49" fontId="9" fillId="12" borderId="153" xfId="1" applyNumberFormat="1" applyFont="1" applyFill="1" applyBorder="1" applyAlignment="1">
      <alignment horizontal="left" vertical="center"/>
    </xf>
    <xf numFmtId="0" fontId="8" fillId="0" borderId="174" xfId="1" applyFont="1" applyFill="1" applyBorder="1" applyAlignment="1">
      <alignment horizontal="left" vertical="center"/>
    </xf>
    <xf numFmtId="49" fontId="12" fillId="10" borderId="9" xfId="1" applyNumberFormat="1" applyFont="1" applyFill="1" applyBorder="1" applyAlignment="1">
      <alignment horizontal="center" vertical="center"/>
    </xf>
    <xf numFmtId="49" fontId="12" fillId="10" borderId="13" xfId="1" applyNumberFormat="1" applyFont="1" applyFill="1" applyBorder="1" applyAlignment="1">
      <alignment horizontal="center" vertical="center"/>
    </xf>
    <xf numFmtId="49" fontId="12" fillId="10" borderId="24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horizontal="right" vertical="center" wrapText="1"/>
    </xf>
    <xf numFmtId="0" fontId="17" fillId="0" borderId="0" xfId="1" applyFont="1" applyBorder="1" applyAlignment="1">
      <alignment horizontal="center" vertical="center" wrapText="1"/>
    </xf>
    <xf numFmtId="0" fontId="50" fillId="0" borderId="0" xfId="1" applyFont="1" applyBorder="1" applyAlignment="1">
      <alignment horizontal="right" vertical="center"/>
    </xf>
    <xf numFmtId="0" fontId="51" fillId="10" borderId="46" xfId="1" applyFont="1" applyFill="1" applyBorder="1" applyAlignment="1">
      <alignment horizontal="center" vertical="center"/>
    </xf>
    <xf numFmtId="0" fontId="51" fillId="10" borderId="54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51" fillId="10" borderId="35" xfId="1" applyFont="1" applyFill="1" applyBorder="1" applyAlignment="1">
      <alignment horizontal="center" vertical="center"/>
    </xf>
    <xf numFmtId="0" fontId="52" fillId="10" borderId="27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 wrapText="1"/>
    </xf>
    <xf numFmtId="0" fontId="51" fillId="10" borderId="35" xfId="1" applyFont="1" applyFill="1" applyBorder="1" applyAlignment="1">
      <alignment horizontal="center" vertical="center" wrapText="1"/>
    </xf>
    <xf numFmtId="0" fontId="52" fillId="10" borderId="27" xfId="1" applyFont="1" applyFill="1" applyBorder="1" applyAlignment="1">
      <alignment horizontal="center" vertical="center" wrapText="1"/>
    </xf>
    <xf numFmtId="0" fontId="53" fillId="10" borderId="27" xfId="1" applyFont="1" applyFill="1" applyBorder="1" applyAlignment="1">
      <alignment horizontal="center" vertical="center" wrapText="1"/>
    </xf>
    <xf numFmtId="0" fontId="53" fillId="10" borderId="35" xfId="1" applyFont="1" applyFill="1" applyBorder="1" applyAlignment="1">
      <alignment horizontal="center" vertical="center" wrapText="1"/>
    </xf>
    <xf numFmtId="0" fontId="53" fillId="10" borderId="27" xfId="1" applyFont="1" applyFill="1" applyBorder="1" applyAlignment="1">
      <alignment horizontal="center" vertical="center"/>
    </xf>
    <xf numFmtId="0" fontId="53" fillId="10" borderId="48" xfId="1" applyFont="1" applyFill="1" applyBorder="1" applyAlignment="1">
      <alignment horizontal="center" vertical="center"/>
    </xf>
    <xf numFmtId="49" fontId="9" fillId="11" borderId="25" xfId="1" applyNumberFormat="1" applyFont="1" applyFill="1" applyBorder="1" applyAlignment="1">
      <alignment horizontal="left" vertical="center"/>
    </xf>
    <xf numFmtId="49" fontId="45" fillId="0" borderId="42" xfId="1" applyNumberFormat="1" applyFont="1" applyFill="1" applyBorder="1" applyAlignment="1">
      <alignment horizontal="center" vertical="top"/>
    </xf>
    <xf numFmtId="49" fontId="45" fillId="0" borderId="50" xfId="1" applyNumberFormat="1" applyFont="1" applyFill="1" applyBorder="1" applyAlignment="1">
      <alignment horizontal="center" vertical="top"/>
    </xf>
    <xf numFmtId="49" fontId="45" fillId="0" borderId="62" xfId="1" applyNumberFormat="1" applyFont="1" applyFill="1" applyBorder="1" applyAlignment="1">
      <alignment horizontal="center" vertical="top"/>
    </xf>
    <xf numFmtId="49" fontId="13" fillId="0" borderId="54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left" vertical="center" wrapText="1"/>
    </xf>
    <xf numFmtId="0" fontId="13" fillId="0" borderId="38" xfId="1" applyFont="1" applyFill="1" applyBorder="1" applyAlignment="1">
      <alignment horizontal="center" vertical="center"/>
    </xf>
    <xf numFmtId="0" fontId="13" fillId="0" borderId="39" xfId="1" applyFont="1" applyFill="1" applyBorder="1" applyAlignment="1">
      <alignment horizontal="center" vertical="center"/>
    </xf>
    <xf numFmtId="0" fontId="13" fillId="0" borderId="59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67" xfId="1" applyFont="1" applyFill="1" applyBorder="1" applyAlignment="1">
      <alignment horizontal="center" vertical="center"/>
    </xf>
    <xf numFmtId="0" fontId="13" fillId="0" borderId="66" xfId="1" applyFont="1" applyFill="1" applyBorder="1" applyAlignment="1">
      <alignment horizontal="center" vertical="center"/>
    </xf>
    <xf numFmtId="0" fontId="5" fillId="0" borderId="63" xfId="1" applyFont="1" applyBorder="1" applyAlignment="1">
      <alignment horizontal="left"/>
    </xf>
    <xf numFmtId="49" fontId="13" fillId="0" borderId="44" xfId="1" applyNumberFormat="1" applyFont="1" applyFill="1" applyBorder="1" applyAlignment="1">
      <alignment horizontal="center" vertical="center"/>
    </xf>
    <xf numFmtId="49" fontId="13" fillId="0" borderId="61" xfId="1" applyNumberFormat="1" applyFont="1" applyFill="1" applyBorder="1" applyAlignment="1">
      <alignment horizontal="center" vertical="center"/>
    </xf>
    <xf numFmtId="49" fontId="13" fillId="0" borderId="42" xfId="1" applyNumberFormat="1" applyFont="1" applyFill="1" applyBorder="1" applyAlignment="1">
      <alignment horizontal="center" vertical="center"/>
    </xf>
    <xf numFmtId="0" fontId="14" fillId="0" borderId="36" xfId="1" applyFont="1" applyFill="1" applyBorder="1" applyAlignment="1">
      <alignment horizontal="left" vertical="center" wrapText="1"/>
    </xf>
    <xf numFmtId="0" fontId="14" fillId="0" borderId="51" xfId="1" applyFont="1" applyFill="1" applyBorder="1" applyAlignment="1">
      <alignment horizontal="left" vertical="center" wrapText="1"/>
    </xf>
    <xf numFmtId="0" fontId="14" fillId="0" borderId="50" xfId="1" applyFont="1" applyFill="1" applyBorder="1" applyAlignment="1">
      <alignment horizontal="left" vertical="center" wrapText="1"/>
    </xf>
    <xf numFmtId="0" fontId="13" fillId="0" borderId="36" xfId="1" applyFont="1" applyFill="1" applyBorder="1" applyAlignment="1">
      <alignment horizontal="center" vertical="center"/>
    </xf>
    <xf numFmtId="0" fontId="13" fillId="0" borderId="51" xfId="1" applyFont="1" applyFill="1" applyBorder="1" applyAlignment="1">
      <alignment horizontal="center" vertical="center"/>
    </xf>
    <xf numFmtId="0" fontId="13" fillId="0" borderId="50" xfId="1" applyFont="1" applyFill="1" applyBorder="1" applyAlignment="1">
      <alignment horizontal="center" vertical="center"/>
    </xf>
    <xf numFmtId="49" fontId="13" fillId="0" borderId="36" xfId="1" applyNumberFormat="1" applyFont="1" applyFill="1" applyBorder="1" applyAlignment="1">
      <alignment horizontal="center" vertical="center"/>
    </xf>
    <xf numFmtId="49" fontId="13" fillId="0" borderId="51" xfId="1" applyNumberFormat="1" applyFont="1" applyFill="1" applyBorder="1" applyAlignment="1">
      <alignment horizontal="center" vertical="center"/>
    </xf>
    <xf numFmtId="49" fontId="13" fillId="0" borderId="50" xfId="1" applyNumberFormat="1" applyFont="1" applyFill="1" applyBorder="1" applyAlignment="1">
      <alignment horizontal="center" vertical="center"/>
    </xf>
    <xf numFmtId="49" fontId="13" fillId="0" borderId="55" xfId="1" applyNumberFormat="1" applyFont="1" applyFill="1" applyBorder="1" applyAlignment="1">
      <alignment horizontal="center" vertical="center"/>
    </xf>
    <xf numFmtId="0" fontId="14" fillId="0" borderId="52" xfId="1" applyFont="1" applyFill="1" applyBorder="1" applyAlignment="1">
      <alignment horizontal="left" vertical="center" wrapText="1"/>
    </xf>
    <xf numFmtId="0" fontId="13" fillId="0" borderId="35" xfId="1" applyFont="1" applyFill="1" applyBorder="1" applyAlignment="1">
      <alignment horizontal="center" vertical="center"/>
    </xf>
    <xf numFmtId="0" fontId="13" fillId="0" borderId="52" xfId="1" applyFont="1" applyFill="1" applyBorder="1" applyAlignment="1">
      <alignment horizontal="center" vertical="center"/>
    </xf>
    <xf numFmtId="49" fontId="13" fillId="0" borderId="35" xfId="1" applyNumberFormat="1" applyFont="1" applyFill="1" applyBorder="1" applyAlignment="1">
      <alignment horizontal="center" vertical="center"/>
    </xf>
    <xf numFmtId="49" fontId="13" fillId="0" borderId="52" xfId="1" applyNumberFormat="1" applyFont="1" applyFill="1" applyBorder="1" applyAlignment="1">
      <alignment horizontal="center" vertical="center"/>
    </xf>
    <xf numFmtId="49" fontId="9" fillId="11" borderId="67" xfId="1" applyNumberFormat="1" applyFont="1" applyFill="1" applyBorder="1" applyAlignment="1">
      <alignment horizontal="left" vertical="center" wrapText="1"/>
    </xf>
    <xf numFmtId="49" fontId="9" fillId="11" borderId="3" xfId="1" applyNumberFormat="1" applyFont="1" applyFill="1" applyBorder="1" applyAlignment="1">
      <alignment horizontal="left" vertical="center" wrapText="1"/>
    </xf>
    <xf numFmtId="49" fontId="9" fillId="11" borderId="66" xfId="1" applyNumberFormat="1" applyFont="1" applyFill="1" applyBorder="1" applyAlignment="1">
      <alignment horizontal="left" vertical="center" wrapText="1"/>
    </xf>
    <xf numFmtId="49" fontId="12" fillId="0" borderId="54" xfId="1" applyNumberFormat="1" applyFont="1" applyFill="1" applyBorder="1" applyAlignment="1">
      <alignment horizontal="center" vertical="top"/>
    </xf>
    <xf numFmtId="49" fontId="12" fillId="0" borderId="35" xfId="1" applyNumberFormat="1" applyFont="1" applyFill="1" applyBorder="1" applyAlignment="1">
      <alignment horizontal="center" vertical="top"/>
    </xf>
    <xf numFmtId="49" fontId="12" fillId="0" borderId="43" xfId="1" applyNumberFormat="1" applyFont="1" applyFill="1" applyBorder="1" applyAlignment="1">
      <alignment horizontal="center" vertical="top"/>
    </xf>
    <xf numFmtId="0" fontId="13" fillId="0" borderId="36" xfId="1" applyFont="1" applyFill="1" applyBorder="1" applyAlignment="1">
      <alignment horizontal="left" vertical="center" wrapText="1"/>
    </xf>
    <xf numFmtId="0" fontId="13" fillId="0" borderId="51" xfId="1" applyFont="1" applyFill="1" applyBorder="1" applyAlignment="1">
      <alignment horizontal="left" vertical="center" wrapText="1"/>
    </xf>
    <xf numFmtId="0" fontId="13" fillId="0" borderId="50" xfId="1" applyFont="1" applyFill="1" applyBorder="1" applyAlignment="1">
      <alignment horizontal="left" vertical="center" wrapText="1"/>
    </xf>
    <xf numFmtId="49" fontId="9" fillId="11" borderId="50" xfId="1" applyNumberFormat="1" applyFont="1" applyFill="1" applyBorder="1" applyAlignment="1">
      <alignment horizontal="left" vertical="center"/>
    </xf>
    <xf numFmtId="49" fontId="9" fillId="11" borderId="27" xfId="1" applyNumberFormat="1" applyFont="1" applyFill="1" applyBorder="1" applyAlignment="1">
      <alignment horizontal="left" vertical="center"/>
    </xf>
    <xf numFmtId="49" fontId="7" fillId="0" borderId="54" xfId="1" applyNumberFormat="1" applyFont="1" applyFill="1" applyBorder="1" applyAlignment="1">
      <alignment horizontal="center" vertical="top"/>
    </xf>
    <xf numFmtId="49" fontId="7" fillId="0" borderId="35" xfId="1" applyNumberFormat="1" applyFont="1" applyFill="1" applyBorder="1" applyAlignment="1">
      <alignment horizontal="center" vertical="top"/>
    </xf>
    <xf numFmtId="49" fontId="7" fillId="0" borderId="43" xfId="1" applyNumberFormat="1" applyFont="1" applyFill="1" applyBorder="1" applyAlignment="1">
      <alignment horizontal="center" vertical="top"/>
    </xf>
    <xf numFmtId="49" fontId="9" fillId="11" borderId="58" xfId="1" applyNumberFormat="1" applyFont="1" applyFill="1" applyBorder="1" applyAlignment="1">
      <alignment horizontal="left" vertical="center"/>
    </xf>
    <xf numFmtId="49" fontId="12" fillId="0" borderId="42" xfId="1" applyNumberFormat="1" applyFont="1" applyFill="1" applyBorder="1" applyAlignment="1">
      <alignment horizontal="center" vertical="top"/>
    </xf>
    <xf numFmtId="49" fontId="12" fillId="0" borderId="50" xfId="1" applyNumberFormat="1" applyFont="1" applyFill="1" applyBorder="1" applyAlignment="1">
      <alignment horizontal="center" vertical="top"/>
    </xf>
    <xf numFmtId="49" fontId="12" fillId="0" borderId="62" xfId="1" applyNumberFormat="1" applyFont="1" applyFill="1" applyBorder="1" applyAlignment="1">
      <alignment horizontal="center" vertical="top"/>
    </xf>
    <xf numFmtId="0" fontId="13" fillId="0" borderId="70" xfId="1" applyFont="1" applyFill="1" applyBorder="1" applyAlignment="1">
      <alignment horizontal="center" vertical="center"/>
    </xf>
    <xf numFmtId="0" fontId="13" fillId="0" borderId="37" xfId="1" applyFont="1" applyFill="1" applyBorder="1" applyAlignment="1">
      <alignment horizontal="center" vertical="center"/>
    </xf>
    <xf numFmtId="49" fontId="9" fillId="11" borderId="32" xfId="1" applyNumberFormat="1" applyFont="1" applyFill="1" applyBorder="1" applyAlignment="1">
      <alignment horizontal="left" vertical="center" wrapText="1"/>
    </xf>
    <xf numFmtId="49" fontId="9" fillId="11" borderId="60" xfId="1" applyNumberFormat="1" applyFont="1" applyFill="1" applyBorder="1" applyAlignment="1">
      <alignment horizontal="left" vertical="center" wrapText="1"/>
    </xf>
    <xf numFmtId="49" fontId="9" fillId="11" borderId="33" xfId="1" applyNumberFormat="1" applyFont="1" applyFill="1" applyBorder="1" applyAlignment="1">
      <alignment horizontal="left" vertical="center" wrapText="1"/>
    </xf>
    <xf numFmtId="0" fontId="13" fillId="0" borderId="35" xfId="1" applyFont="1" applyFill="1" applyBorder="1" applyAlignment="1">
      <alignment horizontal="left" vertical="center" wrapText="1"/>
    </xf>
    <xf numFmtId="0" fontId="17" fillId="2" borderId="9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2" fillId="0" borderId="6" xfId="1" applyFont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22" fillId="0" borderId="5" xfId="1" applyFont="1" applyBorder="1" applyAlignment="1">
      <alignment horizontal="left"/>
    </xf>
    <xf numFmtId="0" fontId="12" fillId="0" borderId="1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22" fillId="0" borderId="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37" fillId="0" borderId="44" xfId="1" applyFont="1" applyFill="1" applyBorder="1" applyAlignment="1">
      <alignment horizontal="center" vertical="center"/>
    </xf>
    <xf numFmtId="0" fontId="37" fillId="0" borderId="42" xfId="1" applyFont="1" applyFill="1" applyBorder="1" applyAlignment="1">
      <alignment horizontal="center" vertical="center"/>
    </xf>
    <xf numFmtId="0" fontId="35" fillId="0" borderId="36" xfId="1" applyFont="1" applyBorder="1" applyAlignment="1">
      <alignment horizontal="left" vertical="center"/>
    </xf>
    <xf numFmtId="0" fontId="35" fillId="0" borderId="50" xfId="1" applyFont="1" applyBorder="1" applyAlignment="1">
      <alignment horizontal="left" vertical="center"/>
    </xf>
    <xf numFmtId="0" fontId="37" fillId="0" borderId="36" xfId="4" applyFont="1" applyBorder="1" applyAlignment="1">
      <alignment horizontal="center" vertical="center"/>
    </xf>
    <xf numFmtId="0" fontId="37" fillId="0" borderId="51" xfId="4" applyFont="1" applyBorder="1" applyAlignment="1">
      <alignment horizontal="center" vertical="center"/>
    </xf>
    <xf numFmtId="0" fontId="37" fillId="0" borderId="50" xfId="4" applyFont="1" applyBorder="1" applyAlignment="1">
      <alignment horizontal="center" vertical="center"/>
    </xf>
    <xf numFmtId="3" fontId="37" fillId="0" borderId="36" xfId="4" applyNumberFormat="1" applyFont="1" applyBorder="1" applyAlignment="1">
      <alignment horizontal="center" vertical="center"/>
    </xf>
    <xf numFmtId="3" fontId="37" fillId="0" borderId="51" xfId="4" applyNumberFormat="1" applyFont="1" applyBorder="1" applyAlignment="1">
      <alignment horizontal="center" vertical="center"/>
    </xf>
    <xf numFmtId="3" fontId="37" fillId="0" borderId="50" xfId="4" applyNumberFormat="1" applyFont="1" applyBorder="1" applyAlignment="1">
      <alignment horizontal="center" vertical="center"/>
    </xf>
    <xf numFmtId="0" fontId="37" fillId="0" borderId="58" xfId="4" applyFont="1" applyBorder="1" applyAlignment="1">
      <alignment horizontal="center" vertical="center"/>
    </xf>
    <xf numFmtId="0" fontId="32" fillId="0" borderId="35" xfId="1" applyFont="1" applyBorder="1" applyAlignment="1">
      <alignment horizontal="left" vertical="center" wrapText="1"/>
    </xf>
    <xf numFmtId="0" fontId="37" fillId="0" borderId="35" xfId="4" applyFont="1" applyBorder="1" applyAlignment="1">
      <alignment horizontal="center" vertical="center"/>
    </xf>
    <xf numFmtId="3" fontId="37" fillId="0" borderId="35" xfId="4" applyNumberFormat="1" applyFont="1" applyBorder="1" applyAlignment="1">
      <alignment horizontal="right" vertical="center"/>
    </xf>
    <xf numFmtId="3" fontId="37" fillId="0" borderId="35" xfId="1" applyNumberFormat="1" applyFont="1" applyBorder="1" applyAlignment="1">
      <alignment horizontal="right" vertical="center"/>
    </xf>
    <xf numFmtId="3" fontId="37" fillId="0" borderId="52" xfId="1" applyNumberFormat="1" applyFont="1" applyBorder="1" applyAlignment="1">
      <alignment horizontal="right" vertical="center"/>
    </xf>
    <xf numFmtId="0" fontId="5" fillId="0" borderId="0" xfId="1" applyAlignment="1">
      <alignment horizontal="center" wrapText="1"/>
    </xf>
    <xf numFmtId="0" fontId="37" fillId="6" borderId="46" xfId="1" applyFont="1" applyFill="1" applyBorder="1" applyAlignment="1">
      <alignment horizontal="center" vertical="center"/>
    </xf>
    <xf numFmtId="0" fontId="37" fillId="6" borderId="54" xfId="1" applyFont="1" applyFill="1" applyBorder="1" applyAlignment="1">
      <alignment horizontal="center" vertical="center"/>
    </xf>
    <xf numFmtId="49" fontId="37" fillId="6" borderId="27" xfId="1" applyNumberFormat="1" applyFont="1" applyFill="1" applyBorder="1" applyAlignment="1">
      <alignment horizontal="center" vertical="center"/>
    </xf>
    <xf numFmtId="49" fontId="37" fillId="6" borderId="35" xfId="1" applyNumberFormat="1" applyFont="1" applyFill="1" applyBorder="1" applyAlignment="1">
      <alignment horizontal="center" vertical="center"/>
    </xf>
    <xf numFmtId="3" fontId="37" fillId="6" borderId="27" xfId="1" applyNumberFormat="1" applyFont="1" applyFill="1" applyBorder="1" applyAlignment="1">
      <alignment horizontal="right" vertical="center"/>
    </xf>
    <xf numFmtId="3" fontId="37" fillId="6" borderId="35" xfId="1" applyNumberFormat="1" applyFont="1" applyFill="1" applyBorder="1" applyAlignment="1">
      <alignment horizontal="right" vertical="center"/>
    </xf>
    <xf numFmtId="0" fontId="34" fillId="3" borderId="9" xfId="1" applyFont="1" applyFill="1" applyBorder="1" applyAlignment="1">
      <alignment horizontal="center" vertical="center"/>
    </xf>
    <xf numFmtId="0" fontId="34" fillId="3" borderId="13" xfId="1" applyFont="1" applyFill="1" applyBorder="1" applyAlignment="1">
      <alignment horizontal="center" vertical="center"/>
    </xf>
    <xf numFmtId="0" fontId="37" fillId="0" borderId="52" xfId="4" applyFont="1" applyBorder="1" applyAlignment="1">
      <alignment horizontal="center" vertical="center"/>
    </xf>
    <xf numFmtId="0" fontId="32" fillId="6" borderId="47" xfId="1" applyFont="1" applyFill="1" applyBorder="1" applyAlignment="1">
      <alignment horizontal="center" vertical="center" wrapText="1"/>
    </xf>
    <xf numFmtId="0" fontId="32" fillId="6" borderId="51" xfId="1" applyFont="1" applyFill="1" applyBorder="1" applyAlignment="1">
      <alignment horizontal="center" vertical="center" wrapText="1"/>
    </xf>
    <xf numFmtId="0" fontId="32" fillId="6" borderId="50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19" fillId="0" borderId="0" xfId="1" applyFont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3" fontId="11" fillId="3" borderId="4" xfId="1" applyNumberFormat="1" applyFont="1" applyFill="1" applyBorder="1" applyAlignment="1">
      <alignment horizontal="center" vertical="center" wrapText="1"/>
    </xf>
    <xf numFmtId="0" fontId="7" fillId="0" borderId="48" xfId="1" applyFont="1" applyBorder="1" applyAlignment="1">
      <alignment horizontal="left" vertical="center" wrapText="1"/>
    </xf>
    <xf numFmtId="0" fontId="7" fillId="0" borderId="53" xfId="1" applyFont="1" applyBorder="1" applyAlignment="1">
      <alignment horizontal="left" vertical="center" wrapText="1"/>
    </xf>
    <xf numFmtId="49" fontId="11" fillId="3" borderId="4" xfId="1" applyNumberFormat="1" applyFont="1" applyFill="1" applyBorder="1" applyAlignment="1">
      <alignment horizontal="center" vertical="center"/>
    </xf>
    <xf numFmtId="0" fontId="36" fillId="0" borderId="46" xfId="1" applyFont="1" applyBorder="1" applyAlignment="1">
      <alignment horizontal="center" vertical="center"/>
    </xf>
    <xf numFmtId="0" fontId="36" fillId="0" borderId="55" xfId="1" applyFont="1" applyBorder="1" applyAlignment="1">
      <alignment horizontal="center" vertical="center"/>
    </xf>
    <xf numFmtId="49" fontId="12" fillId="0" borderId="27" xfId="1" applyNumberFormat="1" applyFont="1" applyBorder="1" applyAlignment="1">
      <alignment horizontal="center" vertical="center"/>
    </xf>
    <xf numFmtId="49" fontId="12" fillId="0" borderId="52" xfId="1" applyNumberFormat="1" applyFont="1" applyBorder="1" applyAlignment="1">
      <alignment horizontal="center" vertical="center"/>
    </xf>
    <xf numFmtId="3" fontId="7" fillId="0" borderId="27" xfId="1" applyNumberFormat="1" applyFont="1" applyBorder="1" applyAlignment="1">
      <alignment horizontal="right" vertical="center"/>
    </xf>
    <xf numFmtId="3" fontId="7" fillId="0" borderId="52" xfId="1" applyNumberFormat="1" applyFont="1" applyBorder="1" applyAlignment="1">
      <alignment horizontal="right" vertical="center"/>
    </xf>
    <xf numFmtId="0" fontId="36" fillId="0" borderId="56" xfId="1" applyFont="1" applyBorder="1" applyAlignment="1">
      <alignment horizontal="center" vertical="center"/>
    </xf>
    <xf numFmtId="0" fontId="36" fillId="0" borderId="57" xfId="1" applyFont="1" applyBorder="1" applyAlignment="1">
      <alignment horizontal="center" vertical="center"/>
    </xf>
    <xf numFmtId="49" fontId="12" fillId="0" borderId="47" xfId="1" applyNumberFormat="1" applyFont="1" applyBorder="1" applyAlignment="1">
      <alignment horizontal="center" vertical="center"/>
    </xf>
    <xf numFmtId="49" fontId="12" fillId="0" borderId="58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49" fontId="12" fillId="0" borderId="27" xfId="1" applyNumberFormat="1" applyFont="1" applyFill="1" applyBorder="1" applyAlignment="1">
      <alignment horizontal="center" vertical="center"/>
    </xf>
    <xf numFmtId="49" fontId="12" fillId="0" borderId="52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21" fillId="0" borderId="36" xfId="1" applyNumberFormat="1" applyFont="1" applyBorder="1" applyAlignment="1">
      <alignment horizontal="center" vertical="center"/>
    </xf>
    <xf numFmtId="0" fontId="21" fillId="0" borderId="50" xfId="1" applyNumberFormat="1" applyFont="1" applyBorder="1" applyAlignment="1">
      <alignment horizontal="center" vertical="center"/>
    </xf>
    <xf numFmtId="49" fontId="11" fillId="4" borderId="27" xfId="1" applyNumberFormat="1" applyFont="1" applyFill="1" applyBorder="1" applyAlignment="1">
      <alignment horizontal="center" vertical="center" wrapText="1"/>
    </xf>
    <xf numFmtId="49" fontId="11" fillId="0" borderId="46" xfId="1" applyNumberFormat="1" applyFont="1" applyBorder="1" applyAlignment="1">
      <alignment horizontal="center" vertical="center"/>
    </xf>
    <xf numFmtId="49" fontId="11" fillId="0" borderId="41" xfId="1" applyNumberFormat="1" applyFont="1" applyBorder="1" applyAlignment="1">
      <alignment horizontal="center" vertical="center"/>
    </xf>
    <xf numFmtId="49" fontId="17" fillId="4" borderId="4" xfId="1" applyNumberFormat="1" applyFont="1" applyFill="1" applyBorder="1" applyAlignment="1">
      <alignment horizontal="center" vertical="center"/>
    </xf>
    <xf numFmtId="0" fontId="11" fillId="5" borderId="27" xfId="1" applyFont="1" applyFill="1" applyBorder="1" applyAlignment="1">
      <alignment horizontal="center" vertical="center" wrapText="1"/>
    </xf>
    <xf numFmtId="49" fontId="11" fillId="0" borderId="54" xfId="1" applyNumberFormat="1" applyFont="1" applyBorder="1" applyAlignment="1">
      <alignment horizontal="center" vertical="center"/>
    </xf>
    <xf numFmtId="49" fontId="11" fillId="0" borderId="44" xfId="1" applyNumberFormat="1" applyFont="1" applyBorder="1" applyAlignment="1">
      <alignment horizontal="center" vertical="center"/>
    </xf>
    <xf numFmtId="49" fontId="21" fillId="0" borderId="36" xfId="1" applyNumberFormat="1" applyFont="1" applyBorder="1" applyAlignment="1">
      <alignment horizontal="center" vertical="center"/>
    </xf>
    <xf numFmtId="49" fontId="21" fillId="0" borderId="50" xfId="1" applyNumberFormat="1" applyFont="1" applyBorder="1" applyAlignment="1">
      <alignment horizontal="center" vertical="center"/>
    </xf>
    <xf numFmtId="49" fontId="21" fillId="0" borderId="36" xfId="1" applyNumberFormat="1" applyFont="1" applyBorder="1" applyAlignment="1">
      <alignment horizontal="center" vertical="center" wrapText="1"/>
    </xf>
    <xf numFmtId="49" fontId="21" fillId="0" borderId="50" xfId="1" applyNumberFormat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22" fillId="2" borderId="9" xfId="1" applyFont="1" applyFill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11" fillId="4" borderId="27" xfId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9" xfId="1" applyNumberFormat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49" fontId="17" fillId="3" borderId="31" xfId="1" applyNumberFormat="1" applyFont="1" applyFill="1" applyBorder="1" applyAlignment="1">
      <alignment horizontal="center" vertical="center"/>
    </xf>
    <xf numFmtId="49" fontId="17" fillId="3" borderId="153" xfId="1" applyNumberFormat="1" applyFont="1" applyFill="1" applyBorder="1" applyAlignment="1">
      <alignment horizontal="center" vertical="center"/>
    </xf>
    <xf numFmtId="49" fontId="17" fillId="3" borderId="30" xfId="1" applyNumberFormat="1" applyFont="1" applyFill="1" applyBorder="1" applyAlignment="1">
      <alignment horizontal="center" vertical="center"/>
    </xf>
    <xf numFmtId="3" fontId="17" fillId="3" borderId="31" xfId="1" applyNumberFormat="1" applyFont="1" applyFill="1" applyBorder="1" applyAlignment="1">
      <alignment horizontal="right" vertical="center"/>
    </xf>
    <xf numFmtId="3" fontId="17" fillId="3" borderId="88" xfId="1" applyNumberFormat="1" applyFont="1" applyFill="1" applyBorder="1" applyAlignment="1">
      <alignment horizontal="right" vertical="center"/>
    </xf>
    <xf numFmtId="0" fontId="17" fillId="0" borderId="120" xfId="1" applyFont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11" fillId="3" borderId="33" xfId="1" applyFont="1" applyFill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/>
    </xf>
    <xf numFmtId="0" fontId="11" fillId="3" borderId="32" xfId="1" applyFont="1" applyFill="1" applyBorder="1" applyAlignment="1">
      <alignment horizontal="center" vertical="center"/>
    </xf>
    <xf numFmtId="3" fontId="11" fillId="0" borderId="145" xfId="1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/>
    </xf>
    <xf numFmtId="3" fontId="21" fillId="0" borderId="105" xfId="1" applyNumberFormat="1" applyFont="1" applyFill="1" applyBorder="1" applyAlignment="1">
      <alignment horizontal="right" vertical="center"/>
    </xf>
    <xf numFmtId="3" fontId="21" fillId="0" borderId="98" xfId="1" applyNumberFormat="1" applyFont="1" applyFill="1" applyBorder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17" fillId="0" borderId="120" xfId="1" applyFont="1" applyFill="1" applyBorder="1" applyAlignment="1">
      <alignment horizontal="center" vertical="center" wrapText="1"/>
    </xf>
    <xf numFmtId="0" fontId="11" fillId="3" borderId="24" xfId="1" applyFont="1" applyFill="1" applyBorder="1" applyAlignment="1">
      <alignment horizontal="center" vertical="center"/>
    </xf>
    <xf numFmtId="0" fontId="11" fillId="3" borderId="153" xfId="1" applyFont="1" applyFill="1" applyBorder="1" applyAlignment="1">
      <alignment horizontal="center" vertical="center"/>
    </xf>
    <xf numFmtId="0" fontId="11" fillId="3" borderId="30" xfId="1" applyFont="1" applyFill="1" applyBorder="1" applyAlignment="1">
      <alignment horizontal="center" vertical="center"/>
    </xf>
    <xf numFmtId="0" fontId="11" fillId="3" borderId="31" xfId="1" applyFont="1" applyFill="1" applyBorder="1" applyAlignment="1">
      <alignment horizontal="center" vertical="center"/>
    </xf>
    <xf numFmtId="0" fontId="11" fillId="3" borderId="88" xfId="1" applyFont="1" applyFill="1" applyBorder="1" applyAlignment="1">
      <alignment horizontal="center" vertical="center"/>
    </xf>
    <xf numFmtId="0" fontId="11" fillId="0" borderId="154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21" fillId="0" borderId="105" xfId="1" applyFont="1" applyFill="1" applyBorder="1" applyAlignment="1">
      <alignment horizontal="center" vertical="center" wrapText="1"/>
    </xf>
    <xf numFmtId="0" fontId="11" fillId="4" borderId="105" xfId="1" applyFont="1" applyFill="1" applyBorder="1" applyAlignment="1">
      <alignment horizontal="center" vertical="center"/>
    </xf>
    <xf numFmtId="0" fontId="21" fillId="0" borderId="120" xfId="1" applyFont="1" applyFill="1" applyBorder="1" applyAlignment="1">
      <alignment horizontal="center" vertical="center" wrapText="1"/>
    </xf>
    <xf numFmtId="0" fontId="21" fillId="0" borderId="126" xfId="1" applyFont="1" applyFill="1" applyBorder="1" applyAlignment="1">
      <alignment horizontal="center" vertical="center" wrapText="1"/>
    </xf>
    <xf numFmtId="49" fontId="11" fillId="0" borderId="42" xfId="1" applyNumberFormat="1" applyFont="1" applyBorder="1" applyAlignment="1">
      <alignment horizontal="center" vertical="center" wrapText="1"/>
    </xf>
    <xf numFmtId="49" fontId="11" fillId="0" borderId="187" xfId="1" applyNumberFormat="1" applyFont="1" applyBorder="1" applyAlignment="1">
      <alignment horizontal="center" vertical="center" wrapText="1"/>
    </xf>
    <xf numFmtId="49" fontId="11" fillId="0" borderId="55" xfId="1" applyNumberFormat="1" applyFont="1" applyBorder="1" applyAlignment="1">
      <alignment horizontal="center" vertical="center" wrapText="1"/>
    </xf>
    <xf numFmtId="0" fontId="11" fillId="0" borderId="126" xfId="1" applyFont="1" applyBorder="1" applyAlignment="1">
      <alignment horizontal="center" vertical="center"/>
    </xf>
    <xf numFmtId="3" fontId="11" fillId="0" borderId="126" xfId="1" applyNumberFormat="1" applyFont="1" applyBorder="1" applyAlignment="1">
      <alignment horizontal="right" vertical="center"/>
    </xf>
    <xf numFmtId="0" fontId="11" fillId="0" borderId="93" xfId="1" applyFont="1" applyBorder="1" applyAlignment="1">
      <alignment horizontal="right" vertical="center"/>
    </xf>
    <xf numFmtId="49" fontId="21" fillId="0" borderId="105" xfId="1" applyNumberFormat="1" applyFont="1" applyBorder="1" applyAlignment="1">
      <alignment horizontal="center" vertical="center" wrapText="1"/>
    </xf>
    <xf numFmtId="49" fontId="21" fillId="0" borderId="52" xfId="1" applyNumberFormat="1" applyFont="1" applyBorder="1" applyAlignment="1">
      <alignment horizontal="center" vertical="center" wrapText="1"/>
    </xf>
    <xf numFmtId="2" fontId="21" fillId="0" borderId="105" xfId="1" applyNumberFormat="1" applyFont="1" applyBorder="1" applyAlignment="1">
      <alignment horizontal="center" vertical="center"/>
    </xf>
    <xf numFmtId="3" fontId="21" fillId="0" borderId="105" xfId="1" applyNumberFormat="1" applyFont="1" applyBorder="1" applyAlignment="1">
      <alignment horizontal="right" vertical="center"/>
    </xf>
    <xf numFmtId="0" fontId="21" fillId="0" borderId="98" xfId="1" applyFont="1" applyBorder="1" applyAlignment="1">
      <alignment horizontal="right" vertical="center"/>
    </xf>
    <xf numFmtId="0" fontId="26" fillId="4" borderId="105" xfId="1" applyFont="1" applyFill="1" applyBorder="1" applyAlignment="1">
      <alignment horizontal="center" vertical="center"/>
    </xf>
    <xf numFmtId="3" fontId="27" fillId="0" borderId="105" xfId="1" applyNumberFormat="1" applyFont="1" applyFill="1" applyBorder="1" applyAlignment="1">
      <alignment horizontal="right" vertical="center" wrapText="1"/>
    </xf>
    <xf numFmtId="3" fontId="27" fillId="0" borderId="98" xfId="1" applyNumberFormat="1" applyFont="1" applyFill="1" applyBorder="1" applyAlignment="1">
      <alignment horizontal="right" vertical="center" wrapText="1"/>
    </xf>
    <xf numFmtId="0" fontId="26" fillId="4" borderId="52" xfId="1" applyFont="1" applyFill="1" applyBorder="1" applyAlignment="1">
      <alignment horizontal="center" vertical="center"/>
    </xf>
    <xf numFmtId="3" fontId="21" fillId="0" borderId="52" xfId="1" applyNumberFormat="1" applyFont="1" applyBorder="1" applyAlignment="1">
      <alignment horizontal="right" vertical="center"/>
    </xf>
    <xf numFmtId="3" fontId="21" fillId="0" borderId="53" xfId="1" applyNumberFormat="1" applyFont="1" applyBorder="1" applyAlignment="1">
      <alignment horizontal="right" vertical="center"/>
    </xf>
    <xf numFmtId="0" fontId="11" fillId="0" borderId="126" xfId="1" applyFont="1" applyBorder="1" applyAlignment="1">
      <alignment horizontal="center" vertical="center" wrapText="1"/>
    </xf>
    <xf numFmtId="0" fontId="11" fillId="0" borderId="105" xfId="1" applyFont="1" applyFill="1" applyBorder="1" applyAlignment="1">
      <alignment horizontal="center" vertical="center" wrapText="1"/>
    </xf>
    <xf numFmtId="49" fontId="11" fillId="3" borderId="9" xfId="1" applyNumberFormat="1" applyFont="1" applyFill="1" applyBorder="1" applyAlignment="1">
      <alignment horizontal="center" vertical="center"/>
    </xf>
    <xf numFmtId="49" fontId="11" fillId="3" borderId="13" xfId="1" applyNumberFormat="1" applyFont="1" applyFill="1" applyBorder="1" applyAlignment="1">
      <alignment horizontal="center" vertical="center"/>
    </xf>
    <xf numFmtId="49" fontId="21" fillId="0" borderId="105" xfId="1" applyNumberFormat="1" applyFont="1" applyBorder="1" applyAlignment="1">
      <alignment horizontal="center" vertical="center"/>
    </xf>
    <xf numFmtId="49" fontId="21" fillId="0" borderId="120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/>
    </xf>
    <xf numFmtId="0" fontId="11" fillId="0" borderId="187" xfId="1" applyFont="1" applyFill="1" applyBorder="1" applyAlignment="1">
      <alignment horizontal="center" vertical="center"/>
    </xf>
    <xf numFmtId="0" fontId="21" fillId="0" borderId="181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11" fillId="0" borderId="126" xfId="1" applyFont="1" applyFill="1" applyBorder="1" applyAlignment="1">
      <alignment horizontal="center" vertical="center"/>
    </xf>
    <xf numFmtId="0" fontId="43" fillId="0" borderId="0" xfId="1" applyFont="1" applyBorder="1" applyAlignment="1">
      <alignment horizontal="center" vertical="center"/>
    </xf>
    <xf numFmtId="3" fontId="43" fillId="0" borderId="0" xfId="1" applyNumberFormat="1" applyFont="1" applyBorder="1" applyAlignment="1">
      <alignment horizontal="left" vertical="center" wrapText="1"/>
    </xf>
    <xf numFmtId="49" fontId="45" fillId="4" borderId="0" xfId="1" applyNumberFormat="1" applyFont="1" applyFill="1" applyBorder="1" applyAlignment="1">
      <alignment horizontal="center" vertical="center"/>
    </xf>
    <xf numFmtId="49" fontId="12" fillId="4" borderId="55" xfId="1" applyNumberFormat="1" applyFont="1" applyFill="1" applyBorder="1" applyAlignment="1">
      <alignment horizontal="center" vertical="center"/>
    </xf>
    <xf numFmtId="49" fontId="12" fillId="4" borderId="52" xfId="1" applyNumberFormat="1" applyFont="1" applyFill="1" applyBorder="1" applyAlignment="1">
      <alignment horizontal="center" vertical="center"/>
    </xf>
    <xf numFmtId="49" fontId="45" fillId="0" borderId="0" xfId="1" applyNumberFormat="1" applyFont="1" applyFill="1" applyBorder="1" applyAlignment="1">
      <alignment horizontal="center" vertical="center"/>
    </xf>
    <xf numFmtId="0" fontId="65" fillId="0" borderId="0" xfId="1" applyFont="1" applyBorder="1" applyAlignment="1">
      <alignment horizontal="left" vertical="center" wrapText="1"/>
    </xf>
    <xf numFmtId="0" fontId="45" fillId="4" borderId="0" xfId="1" applyFont="1" applyFill="1" applyBorder="1" applyAlignment="1">
      <alignment horizontal="center" vertical="center"/>
    </xf>
    <xf numFmtId="0" fontId="45" fillId="4" borderId="0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18" fillId="0" borderId="0" xfId="1" applyFont="1" applyBorder="1" applyAlignment="1">
      <alignment horizontal="left" vertical="center" wrapText="1"/>
    </xf>
    <xf numFmtId="0" fontId="12" fillId="4" borderId="46" xfId="1" applyFont="1" applyFill="1" applyBorder="1" applyAlignment="1">
      <alignment horizontal="center" vertical="center"/>
    </xf>
    <xf numFmtId="0" fontId="12" fillId="4" borderId="54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/>
    </xf>
    <xf numFmtId="0" fontId="12" fillId="4" borderId="35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 wrapText="1"/>
    </xf>
    <xf numFmtId="0" fontId="12" fillId="4" borderId="35" xfId="1" applyFont="1" applyFill="1" applyBorder="1" applyAlignment="1">
      <alignment horizontal="center" vertical="center" wrapText="1"/>
    </xf>
    <xf numFmtId="0" fontId="12" fillId="4" borderId="48" xfId="1" applyFont="1" applyFill="1" applyBorder="1" applyAlignment="1">
      <alignment horizontal="center" vertical="center" wrapText="1"/>
    </xf>
    <xf numFmtId="0" fontId="12" fillId="4" borderId="43" xfId="1" applyFont="1" applyFill="1" applyBorder="1" applyAlignment="1">
      <alignment horizontal="center" vertical="center" wrapText="1"/>
    </xf>
    <xf numFmtId="0" fontId="44" fillId="0" borderId="0" xfId="1" applyFont="1" applyAlignment="1">
      <alignment horizontal="center" vertical="center"/>
    </xf>
    <xf numFmtId="49" fontId="12" fillId="4" borderId="65" xfId="1" applyNumberFormat="1" applyFont="1" applyFill="1" applyBorder="1" applyAlignment="1">
      <alignment horizontal="center" vertical="center"/>
    </xf>
    <xf numFmtId="49" fontId="12" fillId="4" borderId="73" xfId="1" applyNumberFormat="1" applyFont="1" applyFill="1" applyBorder="1" applyAlignment="1">
      <alignment horizontal="center" vertical="center"/>
    </xf>
    <xf numFmtId="49" fontId="12" fillId="4" borderId="68" xfId="1" applyNumberFormat="1" applyFont="1" applyFill="1" applyBorder="1" applyAlignment="1">
      <alignment horizontal="center" vertical="center"/>
    </xf>
    <xf numFmtId="49" fontId="12" fillId="0" borderId="0" xfId="1" applyNumberFormat="1" applyFont="1" applyBorder="1" applyAlignment="1">
      <alignment horizontal="center" vertical="center"/>
    </xf>
    <xf numFmtId="0" fontId="12" fillId="4" borderId="56" xfId="1" applyFont="1" applyFill="1" applyBorder="1" applyAlignment="1">
      <alignment horizontal="center" vertical="center"/>
    </xf>
    <xf numFmtId="0" fontId="12" fillId="4" borderId="42" xfId="1" applyFont="1" applyFill="1" applyBorder="1" applyAlignment="1">
      <alignment horizontal="center" vertical="center"/>
    </xf>
    <xf numFmtId="0" fontId="12" fillId="4" borderId="47" xfId="1" applyFont="1" applyFill="1" applyBorder="1" applyAlignment="1">
      <alignment horizontal="center" vertical="center"/>
    </xf>
    <xf numFmtId="0" fontId="12" fillId="4" borderId="50" xfId="1" applyFont="1" applyFill="1" applyBorder="1" applyAlignment="1">
      <alignment horizontal="center" vertical="center"/>
    </xf>
    <xf numFmtId="0" fontId="12" fillId="4" borderId="72" xfId="1" applyFont="1" applyFill="1" applyBorder="1" applyAlignment="1">
      <alignment horizontal="center" vertical="center" wrapText="1"/>
    </xf>
    <xf numFmtId="0" fontId="12" fillId="4" borderId="62" xfId="1" applyFont="1" applyFill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0" borderId="43" xfId="1" applyFont="1" applyFill="1" applyBorder="1" applyAlignment="1">
      <alignment horizontal="left" vertical="center" wrapText="1"/>
    </xf>
    <xf numFmtId="3" fontId="7" fillId="0" borderId="45" xfId="1" applyNumberFormat="1" applyFont="1" applyBorder="1" applyAlignment="1">
      <alignment horizontal="left" vertical="center" wrapText="1"/>
    </xf>
    <xf numFmtId="3" fontId="7" fillId="0" borderId="74" xfId="1" applyNumberFormat="1" applyFont="1" applyBorder="1" applyAlignment="1">
      <alignment horizontal="left" vertical="center" wrapText="1"/>
    </xf>
    <xf numFmtId="3" fontId="7" fillId="0" borderId="62" xfId="1" applyNumberFormat="1" applyFont="1" applyBorder="1" applyAlignment="1">
      <alignment horizontal="left" vertical="center" wrapText="1"/>
    </xf>
    <xf numFmtId="0" fontId="7" fillId="0" borderId="44" xfId="1" applyFont="1" applyFill="1" applyBorder="1" applyAlignment="1">
      <alignment horizontal="center" vertical="center"/>
    </xf>
    <xf numFmtId="0" fontId="7" fillId="0" borderId="61" xfId="1" applyFont="1" applyFill="1" applyBorder="1" applyAlignment="1">
      <alignment horizontal="center" vertical="center"/>
    </xf>
    <xf numFmtId="0" fontId="7" fillId="0" borderId="42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50" xfId="1" applyFont="1" applyFill="1" applyBorder="1" applyAlignment="1">
      <alignment horizontal="center" vertical="center"/>
    </xf>
    <xf numFmtId="0" fontId="7" fillId="0" borderId="51" xfId="1" applyFont="1" applyFill="1" applyBorder="1" applyAlignment="1">
      <alignment horizontal="center" vertical="center"/>
    </xf>
    <xf numFmtId="0" fontId="7" fillId="0" borderId="45" xfId="1" applyFont="1" applyFill="1" applyBorder="1" applyAlignment="1">
      <alignment horizontal="left" vertical="center" wrapText="1"/>
    </xf>
    <xf numFmtId="0" fontId="7" fillId="0" borderId="74" xfId="1" applyFont="1" applyFill="1" applyBorder="1" applyAlignment="1">
      <alignment horizontal="left" vertical="center" wrapText="1"/>
    </xf>
    <xf numFmtId="0" fontId="7" fillId="0" borderId="62" xfId="1" applyFont="1" applyFill="1" applyBorder="1" applyAlignment="1">
      <alignment horizontal="left" vertical="center" wrapText="1"/>
    </xf>
    <xf numFmtId="0" fontId="7" fillId="0" borderId="5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3" fontId="7" fillId="0" borderId="43" xfId="1" applyNumberFormat="1" applyFont="1" applyBorder="1" applyAlignment="1">
      <alignment horizontal="left" vertical="center" wrapText="1"/>
    </xf>
    <xf numFmtId="49" fontId="12" fillId="0" borderId="192" xfId="1" applyNumberFormat="1" applyFont="1" applyBorder="1" applyAlignment="1">
      <alignment horizontal="center" vertical="top"/>
    </xf>
    <xf numFmtId="49" fontId="8" fillId="0" borderId="193" xfId="1" applyNumberFormat="1" applyFont="1" applyBorder="1" applyAlignment="1">
      <alignment horizontal="center" vertical="top"/>
    </xf>
    <xf numFmtId="49" fontId="7" fillId="0" borderId="193" xfId="1" applyNumberFormat="1" applyFont="1" applyBorder="1" applyAlignment="1">
      <alignment horizontal="center" vertical="top"/>
    </xf>
    <xf numFmtId="0" fontId="8" fillId="0" borderId="193" xfId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4" borderId="24" xfId="1" applyNumberFormat="1" applyFont="1" applyFill="1" applyBorder="1" applyAlignment="1">
      <alignment horizontal="center" vertical="center"/>
    </xf>
    <xf numFmtId="49" fontId="12" fillId="0" borderId="55" xfId="1" applyNumberFormat="1" applyFont="1" applyBorder="1" applyAlignment="1">
      <alignment horizontal="center" vertical="top"/>
    </xf>
    <xf numFmtId="49" fontId="42" fillId="0" borderId="193" xfId="1" applyNumberFormat="1" applyFont="1" applyBorder="1" applyAlignment="1">
      <alignment horizontal="center" vertical="top"/>
    </xf>
    <xf numFmtId="0" fontId="8" fillId="0" borderId="193" xfId="1" applyFont="1" applyBorder="1" applyAlignment="1">
      <alignment horizontal="center" vertical="center"/>
    </xf>
    <xf numFmtId="0" fontId="8" fillId="0" borderId="193" xfId="1" applyFont="1" applyBorder="1" applyAlignment="1">
      <alignment horizontal="center" vertical="center" wrapText="1"/>
    </xf>
    <xf numFmtId="49" fontId="7" fillId="0" borderId="52" xfId="1" applyNumberFormat="1" applyFont="1" applyBorder="1" applyAlignment="1">
      <alignment horizontal="center" vertical="top"/>
    </xf>
    <xf numFmtId="49" fontId="41" fillId="0" borderId="193" xfId="1" applyNumberFormat="1" applyFont="1" applyBorder="1" applyAlignment="1">
      <alignment horizontal="center" vertical="top"/>
    </xf>
    <xf numFmtId="0" fontId="1" fillId="0" borderId="0" xfId="14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191" xfId="1" applyFont="1" applyBorder="1" applyAlignment="1">
      <alignment horizontal="center" vertical="center" wrapText="1"/>
    </xf>
    <xf numFmtId="0" fontId="12" fillId="0" borderId="145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right" vertical="center" wrapText="1"/>
    </xf>
    <xf numFmtId="49" fontId="12" fillId="0" borderId="46" xfId="1" applyNumberFormat="1" applyFont="1" applyBorder="1" applyAlignment="1">
      <alignment horizontal="center" vertical="top"/>
    </xf>
    <xf numFmtId="49" fontId="41" fillId="0" borderId="27" xfId="1" applyNumberFormat="1" applyFont="1" applyBorder="1" applyAlignment="1">
      <alignment horizontal="center" vertical="top"/>
    </xf>
    <xf numFmtId="49" fontId="12" fillId="0" borderId="195" xfId="1" applyNumberFormat="1" applyFont="1" applyFill="1" applyBorder="1" applyAlignment="1">
      <alignment horizontal="center" vertical="center"/>
    </xf>
    <xf numFmtId="49" fontId="12" fillId="0" borderId="191" xfId="1" applyNumberFormat="1" applyFont="1" applyFill="1" applyBorder="1" applyAlignment="1">
      <alignment horizontal="center" vertical="center"/>
    </xf>
    <xf numFmtId="0" fontId="12" fillId="0" borderId="195" xfId="1" applyFont="1" applyFill="1" applyBorder="1" applyAlignment="1">
      <alignment horizontal="center" vertical="center" wrapText="1"/>
    </xf>
    <xf numFmtId="0" fontId="12" fillId="0" borderId="191" xfId="1" applyFont="1" applyFill="1" applyBorder="1" applyAlignment="1">
      <alignment horizontal="center" vertical="center" wrapText="1"/>
    </xf>
    <xf numFmtId="49" fontId="12" fillId="4" borderId="31" xfId="1" applyNumberFormat="1" applyFont="1" applyFill="1" applyBorder="1" applyAlignment="1">
      <alignment horizontal="center" vertical="center"/>
    </xf>
    <xf numFmtId="49" fontId="12" fillId="4" borderId="153" xfId="1" applyNumberFormat="1" applyFont="1" applyFill="1" applyBorder="1" applyAlignment="1">
      <alignment horizontal="center" vertical="center"/>
    </xf>
    <xf numFmtId="3" fontId="46" fillId="0" borderId="0" xfId="1" applyNumberFormat="1" applyFont="1" applyAlignment="1">
      <alignment horizontal="center" vertical="center" wrapText="1"/>
    </xf>
    <xf numFmtId="0" fontId="46" fillId="0" borderId="0" xfId="1" applyFont="1" applyAlignment="1">
      <alignment horizontal="center" vertical="center" wrapText="1"/>
    </xf>
    <xf numFmtId="49" fontId="12" fillId="0" borderId="197" xfId="1" applyNumberFormat="1" applyFont="1" applyBorder="1" applyAlignment="1">
      <alignment horizontal="center" vertical="top"/>
    </xf>
    <xf numFmtId="49" fontId="12" fillId="0" borderId="61" xfId="1" applyNumberFormat="1" applyFont="1" applyBorder="1" applyAlignment="1">
      <alignment horizontal="center" vertical="top"/>
    </xf>
    <xf numFmtId="49" fontId="12" fillId="0" borderId="57" xfId="1" applyNumberFormat="1" applyFont="1" applyBorder="1" applyAlignment="1">
      <alignment horizontal="center" vertical="top"/>
    </xf>
    <xf numFmtId="0" fontId="12" fillId="7" borderId="193" xfId="1" applyFont="1" applyFill="1" applyBorder="1" applyAlignment="1">
      <alignment horizontal="center" vertical="center" wrapText="1"/>
    </xf>
    <xf numFmtId="49" fontId="12" fillId="0" borderId="196" xfId="1" applyNumberFormat="1" applyFont="1" applyFill="1" applyBorder="1" applyAlignment="1">
      <alignment horizontal="center" vertical="center"/>
    </xf>
    <xf numFmtId="0" fontId="12" fillId="0" borderId="195" xfId="1" applyFont="1" applyFill="1" applyBorder="1" applyAlignment="1">
      <alignment horizontal="center" vertical="center"/>
    </xf>
    <xf numFmtId="0" fontId="12" fillId="0" borderId="191" xfId="1" applyFont="1" applyFill="1" applyBorder="1" applyAlignment="1">
      <alignment horizontal="center" vertical="center"/>
    </xf>
    <xf numFmtId="0" fontId="12" fillId="0" borderId="196" xfId="1" applyFont="1" applyFill="1" applyBorder="1" applyAlignment="1">
      <alignment horizontal="center" vertical="center"/>
    </xf>
    <xf numFmtId="49" fontId="12" fillId="0" borderId="56" xfId="1" applyNumberFormat="1" applyFont="1" applyBorder="1" applyAlignment="1">
      <alignment horizontal="center" vertical="top"/>
    </xf>
    <xf numFmtId="49" fontId="12" fillId="7" borderId="27" xfId="1" applyNumberFormat="1" applyFont="1" applyFill="1" applyBorder="1" applyAlignment="1">
      <alignment horizontal="center" vertical="center"/>
    </xf>
    <xf numFmtId="49" fontId="12" fillId="0" borderId="126" xfId="1" applyNumberFormat="1" applyFont="1" applyFill="1" applyBorder="1" applyAlignment="1">
      <alignment horizontal="center" vertical="center"/>
    </xf>
    <xf numFmtId="0" fontId="12" fillId="0" borderId="126" xfId="1" applyFont="1" applyFill="1" applyBorder="1" applyAlignment="1">
      <alignment horizontal="center" vertical="center" wrapText="1"/>
    </xf>
    <xf numFmtId="49" fontId="9" fillId="0" borderId="197" xfId="1" applyNumberFormat="1" applyFont="1" applyBorder="1" applyAlignment="1">
      <alignment horizontal="center" vertical="top"/>
    </xf>
    <xf numFmtId="49" fontId="9" fillId="0" borderId="61" xfId="1" applyNumberFormat="1" applyFont="1" applyBorder="1" applyAlignment="1">
      <alignment horizontal="center" vertical="top"/>
    </xf>
    <xf numFmtId="49" fontId="12" fillId="7" borderId="193" xfId="1" applyNumberFormat="1" applyFont="1" applyFill="1" applyBorder="1" applyAlignment="1">
      <alignment horizontal="center" vertical="center"/>
    </xf>
    <xf numFmtId="49" fontId="9" fillId="0" borderId="42" xfId="1" applyNumberFormat="1" applyFont="1" applyBorder="1" applyAlignment="1">
      <alignment horizontal="center" vertical="top"/>
    </xf>
    <xf numFmtId="0" fontId="12" fillId="7" borderId="193" xfId="1" applyFont="1" applyFill="1" applyBorder="1" applyAlignment="1">
      <alignment horizontal="center" vertical="center"/>
    </xf>
    <xf numFmtId="49" fontId="12" fillId="0" borderId="42" xfId="1" applyNumberFormat="1" applyFont="1" applyBorder="1" applyAlignment="1">
      <alignment horizontal="center" vertical="top"/>
    </xf>
    <xf numFmtId="0" fontId="12" fillId="7" borderId="126" xfId="1" applyFont="1" applyFill="1" applyBorder="1" applyAlignment="1">
      <alignment horizontal="center" vertical="center"/>
    </xf>
    <xf numFmtId="0" fontId="12" fillId="4" borderId="192" xfId="1" applyFont="1" applyFill="1" applyBorder="1" applyAlignment="1">
      <alignment horizontal="center" vertical="center"/>
    </xf>
    <xf numFmtId="0" fontId="12" fillId="4" borderId="55" xfId="1" applyFont="1" applyFill="1" applyBorder="1" applyAlignment="1">
      <alignment horizontal="center" vertical="center"/>
    </xf>
    <xf numFmtId="0" fontId="12" fillId="4" borderId="193" xfId="1" applyFont="1" applyFill="1" applyBorder="1" applyAlignment="1">
      <alignment horizontal="center" vertical="center"/>
    </xf>
    <xf numFmtId="0" fontId="12" fillId="4" borderId="52" xfId="1" applyFont="1" applyFill="1" applyBorder="1" applyAlignment="1">
      <alignment horizontal="center" vertical="center"/>
    </xf>
    <xf numFmtId="0" fontId="12" fillId="4" borderId="191" xfId="1" applyFont="1" applyFill="1" applyBorder="1" applyAlignment="1">
      <alignment horizontal="center" vertical="center"/>
    </xf>
    <xf numFmtId="0" fontId="12" fillId="4" borderId="196" xfId="1" applyFont="1" applyFill="1" applyBorder="1" applyAlignment="1">
      <alignment horizontal="center" vertical="center"/>
    </xf>
    <xf numFmtId="0" fontId="12" fillId="4" borderId="193" xfId="1" applyFont="1" applyFill="1" applyBorder="1" applyAlignment="1">
      <alignment horizontal="center" vertical="center" wrapText="1"/>
    </xf>
    <xf numFmtId="0" fontId="12" fillId="4" borderId="52" xfId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0" fontId="12" fillId="4" borderId="176" xfId="1" applyFont="1" applyFill="1" applyBorder="1" applyAlignment="1">
      <alignment horizontal="center" vertical="center" wrapText="1"/>
    </xf>
    <xf numFmtId="0" fontId="12" fillId="4" borderId="33" xfId="1" applyFont="1" applyFill="1" applyBorder="1" applyAlignment="1">
      <alignment horizontal="center" vertical="center" wrapText="1"/>
    </xf>
    <xf numFmtId="0" fontId="12" fillId="4" borderId="79" xfId="1" applyFont="1" applyFill="1" applyBorder="1" applyAlignment="1">
      <alignment horizontal="center" vertical="center" wrapText="1"/>
    </xf>
    <xf numFmtId="0" fontId="12" fillId="4" borderId="194" xfId="1" applyFont="1" applyFill="1" applyBorder="1" applyAlignment="1">
      <alignment horizontal="center" vertical="center" wrapText="1"/>
    </xf>
    <xf numFmtId="0" fontId="12" fillId="4" borderId="53" xfId="1" applyFont="1" applyFill="1" applyBorder="1" applyAlignment="1">
      <alignment horizontal="center" vertical="center" wrapText="1"/>
    </xf>
    <xf numFmtId="0" fontId="12" fillId="4" borderId="195" xfId="1" applyFont="1" applyFill="1" applyBorder="1" applyAlignment="1">
      <alignment horizontal="center" vertical="center" wrapText="1"/>
    </xf>
    <xf numFmtId="0" fontId="12" fillId="4" borderId="196" xfId="1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2" fillId="3" borderId="64" xfId="1" applyFont="1" applyFill="1" applyBorder="1" applyAlignment="1">
      <alignment horizontal="center" vertical="center"/>
    </xf>
    <xf numFmtId="0" fontId="12" fillId="3" borderId="65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3" borderId="60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 wrapText="1"/>
    </xf>
    <xf numFmtId="0" fontId="9" fillId="3" borderId="33" xfId="1" applyFont="1" applyFill="1" applyBorder="1" applyAlignment="1">
      <alignment horizontal="center" vertical="center" wrapText="1"/>
    </xf>
    <xf numFmtId="0" fontId="9" fillId="3" borderId="48" xfId="1" applyFont="1" applyFill="1" applyBorder="1" applyAlignment="1">
      <alignment horizontal="center" vertical="center" wrapText="1"/>
    </xf>
    <xf numFmtId="49" fontId="12" fillId="0" borderId="19" xfId="1" applyNumberFormat="1" applyFont="1" applyBorder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49" fontId="12" fillId="0" borderId="14" xfId="1" applyNumberFormat="1" applyFont="1" applyBorder="1" applyAlignment="1">
      <alignment horizontal="center" vertical="center" wrapText="1"/>
    </xf>
    <xf numFmtId="0" fontId="9" fillId="4" borderId="31" xfId="1" applyFont="1" applyFill="1" applyBorder="1" applyAlignment="1">
      <alignment horizontal="center" vertical="center"/>
    </xf>
    <xf numFmtId="0" fontId="9" fillId="4" borderId="25" xfId="1" applyFont="1" applyFill="1" applyBorder="1" applyAlignment="1">
      <alignment horizontal="center" vertical="center"/>
    </xf>
    <xf numFmtId="0" fontId="9" fillId="4" borderId="26" xfId="1" applyFont="1" applyFill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/>
    </xf>
    <xf numFmtId="0" fontId="8" fillId="6" borderId="67" xfId="1" applyFont="1" applyFill="1" applyBorder="1" applyAlignment="1">
      <alignment horizontal="center" vertical="center"/>
    </xf>
    <xf numFmtId="0" fontId="25" fillId="0" borderId="0" xfId="1" applyFont="1" applyAlignment="1">
      <alignment horizontal="center" vertical="center" wrapText="1"/>
    </xf>
    <xf numFmtId="49" fontId="12" fillId="3" borderId="31" xfId="1" applyNumberFormat="1" applyFont="1" applyFill="1" applyBorder="1" applyAlignment="1">
      <alignment horizontal="center" vertical="center"/>
    </xf>
    <xf numFmtId="49" fontId="12" fillId="3" borderId="58" xfId="1" applyNumberFormat="1" applyFont="1" applyFill="1" applyBorder="1" applyAlignment="1">
      <alignment horizontal="center" vertical="center"/>
    </xf>
    <xf numFmtId="49" fontId="12" fillId="3" borderId="25" xfId="1" applyNumberFormat="1" applyFont="1" applyFill="1" applyBorder="1" applyAlignment="1">
      <alignment horizontal="center" vertical="center"/>
    </xf>
    <xf numFmtId="49" fontId="12" fillId="3" borderId="30" xfId="1" applyNumberFormat="1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left"/>
    </xf>
    <xf numFmtId="0" fontId="12" fillId="4" borderId="13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3" fillId="0" borderId="0" xfId="2" applyFont="1" applyAlignment="1">
      <alignment horizontal="right" vertical="center" wrapText="1"/>
    </xf>
    <xf numFmtId="0" fontId="17" fillId="0" borderId="29" xfId="2" applyFont="1" applyBorder="1" applyAlignment="1">
      <alignment horizontal="center" vertical="center" wrapText="1"/>
    </xf>
  </cellXfs>
  <cellStyles count="16">
    <cellStyle name="Normalny" xfId="0" builtinId="0"/>
    <cellStyle name="Normalny 2" xfId="1"/>
    <cellStyle name="Normalny 2 2" xfId="2"/>
    <cellStyle name="Normalny 2 2 2" xfId="13"/>
    <cellStyle name="Normalny 3" xfId="3"/>
    <cellStyle name="Normalny 3 2" xfId="4"/>
    <cellStyle name="Normalny 3 2 2" xfId="5"/>
    <cellStyle name="Normalny 4" xfId="6"/>
    <cellStyle name="Normalny 5" xfId="9"/>
    <cellStyle name="Normalny 5 2" xfId="12"/>
    <cellStyle name="Normalny 5 2 2" xfId="14"/>
    <cellStyle name="Normalny 6" xfId="10"/>
    <cellStyle name="Normalny 7" xfId="15"/>
    <cellStyle name="Normalny_Arkusz1" xfId="11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CCCC00"/>
      <color rgb="FF99CCFF"/>
      <color rgb="FFFFFF66"/>
      <color rgb="FFFFCC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H880"/>
  <sheetViews>
    <sheetView view="pageBreakPreview" zoomScaleNormal="100" zoomScaleSheetLayoutView="100" workbookViewId="0">
      <selection activeCell="C1" sqref="C1:D1"/>
    </sheetView>
  </sheetViews>
  <sheetFormatPr defaultRowHeight="15"/>
  <cols>
    <col min="1" max="1" width="6.42578125" style="714" customWidth="1"/>
    <col min="2" max="2" width="8.85546875" style="714" customWidth="1"/>
    <col min="3" max="3" width="59.7109375" style="717" customWidth="1"/>
    <col min="4" max="4" width="10.85546875" style="717" customWidth="1"/>
    <col min="5" max="5" width="15.7109375" style="715" customWidth="1"/>
    <col min="6" max="6" width="12.28515625" style="716" bestFit="1" customWidth="1"/>
    <col min="7" max="7" width="9.85546875" style="716" bestFit="1" customWidth="1"/>
    <col min="8" max="16384" width="9.140625" style="716"/>
  </cols>
  <sheetData>
    <row r="1" spans="1:5" ht="45" customHeight="1">
      <c r="C1" s="1119" t="s">
        <v>1111</v>
      </c>
      <c r="D1" s="1119"/>
    </row>
    <row r="2" spans="1:5">
      <c r="D2" s="718"/>
    </row>
    <row r="3" spans="1:5">
      <c r="D3" s="718"/>
    </row>
    <row r="4" spans="1:5" ht="29.25" customHeight="1">
      <c r="A4" s="1120" t="s">
        <v>967</v>
      </c>
      <c r="B4" s="1120"/>
      <c r="C4" s="1120"/>
      <c r="D4" s="1120"/>
      <c r="E4" s="719"/>
    </row>
    <row r="5" spans="1:5" ht="27" customHeight="1">
      <c r="A5" s="1120"/>
      <c r="B5" s="1120"/>
      <c r="C5" s="1120"/>
      <c r="D5" s="1120"/>
      <c r="E5" s="719"/>
    </row>
    <row r="6" spans="1:5" ht="12" customHeight="1" thickBot="1">
      <c r="A6" s="720"/>
      <c r="B6" s="721"/>
      <c r="C6" s="722"/>
      <c r="D6" s="722"/>
    </row>
    <row r="7" spans="1:5" ht="25.5" customHeight="1" thickBot="1">
      <c r="A7" s="1121" t="s">
        <v>0</v>
      </c>
      <c r="B7" s="1122" t="s">
        <v>968</v>
      </c>
      <c r="C7" s="1123" t="s">
        <v>969</v>
      </c>
      <c r="D7" s="1124" t="s">
        <v>5</v>
      </c>
      <c r="E7" s="1134" t="s">
        <v>579</v>
      </c>
    </row>
    <row r="8" spans="1:5" ht="24.75" customHeight="1" thickBot="1">
      <c r="A8" s="1121"/>
      <c r="B8" s="1122"/>
      <c r="C8" s="1123"/>
      <c r="D8" s="1124"/>
      <c r="E8" s="1135"/>
    </row>
    <row r="9" spans="1:5" ht="15.75" thickBot="1">
      <c r="A9" s="723" t="s">
        <v>301</v>
      </c>
      <c r="B9" s="724" t="s">
        <v>302</v>
      </c>
      <c r="C9" s="725" t="s">
        <v>303</v>
      </c>
      <c r="D9" s="726" t="s">
        <v>304</v>
      </c>
      <c r="E9" s="727" t="s">
        <v>305</v>
      </c>
    </row>
    <row r="10" spans="1:5" ht="15.75" thickBot="1">
      <c r="A10" s="728" t="s">
        <v>122</v>
      </c>
      <c r="B10" s="729"/>
      <c r="C10" s="730" t="s">
        <v>233</v>
      </c>
      <c r="D10" s="731"/>
      <c r="E10" s="732">
        <f>SUM(E11,E16,E22,E30,E35,E39)</f>
        <v>87029528</v>
      </c>
    </row>
    <row r="11" spans="1:5" ht="15.75" thickBot="1">
      <c r="A11" s="1136"/>
      <c r="B11" s="733" t="s">
        <v>581</v>
      </c>
      <c r="C11" s="734" t="s">
        <v>970</v>
      </c>
      <c r="D11" s="735"/>
      <c r="E11" s="736">
        <f>SUM(E12,E15)</f>
        <v>12680805</v>
      </c>
    </row>
    <row r="12" spans="1:5" ht="15" customHeight="1">
      <c r="A12" s="1136"/>
      <c r="B12" s="1137" t="s">
        <v>971</v>
      </c>
      <c r="C12" s="1137"/>
      <c r="D12" s="737"/>
      <c r="E12" s="738">
        <f>SUM(E13:E14)</f>
        <v>12680805</v>
      </c>
    </row>
    <row r="13" spans="1:5" ht="25.5" customHeight="1">
      <c r="A13" s="1136"/>
      <c r="B13" s="1138"/>
      <c r="C13" s="1139" t="s">
        <v>972</v>
      </c>
      <c r="D13" s="739" t="s">
        <v>973</v>
      </c>
      <c r="E13" s="740">
        <v>12678805</v>
      </c>
    </row>
    <row r="14" spans="1:5" ht="51.75" customHeight="1">
      <c r="A14" s="1136"/>
      <c r="B14" s="1138"/>
      <c r="C14" s="1139"/>
      <c r="D14" s="741" t="s">
        <v>974</v>
      </c>
      <c r="E14" s="742">
        <v>2000</v>
      </c>
    </row>
    <row r="15" spans="1:5" ht="15" customHeight="1" thickBot="1">
      <c r="A15" s="1136"/>
      <c r="B15" s="1140" t="s">
        <v>975</v>
      </c>
      <c r="C15" s="1140"/>
      <c r="D15" s="743"/>
      <c r="E15" s="744">
        <v>0</v>
      </c>
    </row>
    <row r="16" spans="1:5" ht="15.75" thickBot="1">
      <c r="A16" s="1136"/>
      <c r="B16" s="745" t="s">
        <v>632</v>
      </c>
      <c r="C16" s="746" t="s">
        <v>633</v>
      </c>
      <c r="D16" s="747"/>
      <c r="E16" s="736">
        <f>SUM(E17,E21)</f>
        <v>91900</v>
      </c>
    </row>
    <row r="17" spans="1:5">
      <c r="A17" s="1136"/>
      <c r="B17" s="1125" t="s">
        <v>971</v>
      </c>
      <c r="C17" s="1126"/>
      <c r="D17" s="748"/>
      <c r="E17" s="738">
        <f>SUM(E18:E20)</f>
        <v>91900</v>
      </c>
    </row>
    <row r="18" spans="1:5" ht="25.5" customHeight="1">
      <c r="A18" s="1136"/>
      <c r="B18" s="1141"/>
      <c r="C18" s="1142" t="s">
        <v>976</v>
      </c>
      <c r="D18" s="749" t="s">
        <v>977</v>
      </c>
      <c r="E18" s="740">
        <v>80300</v>
      </c>
    </row>
    <row r="19" spans="1:5" ht="25.5" customHeight="1">
      <c r="A19" s="1136"/>
      <c r="B19" s="1141"/>
      <c r="C19" s="1143"/>
      <c r="D19" s="749" t="s">
        <v>973</v>
      </c>
      <c r="E19" s="740">
        <v>8800</v>
      </c>
    </row>
    <row r="20" spans="1:5" ht="30.75" customHeight="1">
      <c r="A20" s="1136"/>
      <c r="B20" s="1141"/>
      <c r="C20" s="1143"/>
      <c r="D20" s="750" t="s">
        <v>974</v>
      </c>
      <c r="E20" s="740">
        <v>2800</v>
      </c>
    </row>
    <row r="21" spans="1:5" ht="15.75" thickBot="1">
      <c r="A21" s="1136"/>
      <c r="B21" s="1144" t="s">
        <v>975</v>
      </c>
      <c r="C21" s="1140"/>
      <c r="D21" s="743"/>
      <c r="E21" s="751">
        <v>0</v>
      </c>
    </row>
    <row r="22" spans="1:5" ht="15.75" thickBot="1">
      <c r="A22" s="1136"/>
      <c r="B22" s="745" t="s">
        <v>234</v>
      </c>
      <c r="C22" s="752" t="s">
        <v>235</v>
      </c>
      <c r="D22" s="753"/>
      <c r="E22" s="736">
        <f>SUM(E23,E26)</f>
        <v>8089842</v>
      </c>
    </row>
    <row r="23" spans="1:5">
      <c r="A23" s="1136"/>
      <c r="B23" s="1125" t="s">
        <v>971</v>
      </c>
      <c r="C23" s="1126"/>
      <c r="D23" s="748"/>
      <c r="E23" s="754">
        <f>SUM(E24:E25)</f>
        <v>5094842</v>
      </c>
    </row>
    <row r="24" spans="1:5" ht="41.25" customHeight="1">
      <c r="A24" s="1136"/>
      <c r="B24" s="1127"/>
      <c r="C24" s="755" t="s">
        <v>978</v>
      </c>
      <c r="D24" s="756">
        <v>2210</v>
      </c>
      <c r="E24" s="757">
        <v>5091000</v>
      </c>
    </row>
    <row r="25" spans="1:5" ht="42" customHeight="1">
      <c r="A25" s="1136"/>
      <c r="B25" s="1127"/>
      <c r="C25" s="758" t="s">
        <v>979</v>
      </c>
      <c r="D25" s="759">
        <v>2360</v>
      </c>
      <c r="E25" s="742">
        <v>3842</v>
      </c>
    </row>
    <row r="26" spans="1:5">
      <c r="A26" s="1136"/>
      <c r="B26" s="1128" t="s">
        <v>980</v>
      </c>
      <c r="C26" s="1129"/>
      <c r="D26" s="760"/>
      <c r="E26" s="761">
        <f>SUM(E27:E29)</f>
        <v>2995000</v>
      </c>
    </row>
    <row r="27" spans="1:5" ht="44.25" customHeight="1">
      <c r="A27" s="1136"/>
      <c r="B27" s="1130"/>
      <c r="C27" s="762" t="s">
        <v>981</v>
      </c>
      <c r="D27" s="1131">
        <v>6510</v>
      </c>
      <c r="E27" s="740">
        <v>2246000</v>
      </c>
    </row>
    <row r="28" spans="1:5" ht="69.75" customHeight="1">
      <c r="A28" s="1136"/>
      <c r="B28" s="1130"/>
      <c r="C28" s="762" t="s">
        <v>982</v>
      </c>
      <c r="D28" s="1132"/>
      <c r="E28" s="740">
        <v>50000</v>
      </c>
    </row>
    <row r="29" spans="1:5" ht="76.5" customHeight="1" thickBot="1">
      <c r="A29" s="1136"/>
      <c r="B29" s="1130"/>
      <c r="C29" s="763" t="s">
        <v>983</v>
      </c>
      <c r="D29" s="1133"/>
      <c r="E29" s="757">
        <v>699000</v>
      </c>
    </row>
    <row r="30" spans="1:5" ht="15.75" thickBot="1">
      <c r="A30" s="1136"/>
      <c r="B30" s="733" t="s">
        <v>438</v>
      </c>
      <c r="C30" s="746" t="s">
        <v>984</v>
      </c>
      <c r="D30" s="753"/>
      <c r="E30" s="736">
        <v>5952000</v>
      </c>
    </row>
    <row r="31" spans="1:5">
      <c r="A31" s="1136"/>
      <c r="B31" s="1125" t="s">
        <v>971</v>
      </c>
      <c r="C31" s="1126"/>
      <c r="D31" s="764"/>
      <c r="E31" s="738">
        <v>5952000</v>
      </c>
    </row>
    <row r="32" spans="1:5" ht="42.75" customHeight="1">
      <c r="A32" s="1136"/>
      <c r="B32" s="1156"/>
      <c r="C32" s="765" t="s">
        <v>985</v>
      </c>
      <c r="D32" s="766">
        <v>2058</v>
      </c>
      <c r="E32" s="740">
        <v>3787000</v>
      </c>
    </row>
    <row r="33" spans="1:5" ht="41.25" customHeight="1">
      <c r="A33" s="1136"/>
      <c r="B33" s="1157"/>
      <c r="C33" s="767" t="s">
        <v>986</v>
      </c>
      <c r="D33" s="768">
        <v>2059</v>
      </c>
      <c r="E33" s="740">
        <v>2165000</v>
      </c>
    </row>
    <row r="34" spans="1:5" ht="15.75" thickBot="1">
      <c r="A34" s="1136"/>
      <c r="B34" s="1158" t="s">
        <v>975</v>
      </c>
      <c r="C34" s="1129"/>
      <c r="D34" s="760"/>
      <c r="E34" s="751">
        <v>0</v>
      </c>
    </row>
    <row r="35" spans="1:5" ht="15.75" thickBot="1">
      <c r="A35" s="1136"/>
      <c r="B35" s="733" t="s">
        <v>124</v>
      </c>
      <c r="C35" s="752" t="s">
        <v>650</v>
      </c>
      <c r="D35" s="753"/>
      <c r="E35" s="736">
        <f>SUM(E38,E36)</f>
        <v>6500000</v>
      </c>
    </row>
    <row r="36" spans="1:5">
      <c r="A36" s="1136"/>
      <c r="B36" s="1159" t="s">
        <v>971</v>
      </c>
      <c r="C36" s="1159"/>
      <c r="D36" s="769"/>
      <c r="E36" s="738">
        <f>SUM(E37)</f>
        <v>6500000</v>
      </c>
    </row>
    <row r="37" spans="1:5" ht="19.5" customHeight="1">
      <c r="A37" s="1136"/>
      <c r="B37" s="770"/>
      <c r="C37" s="771" t="s">
        <v>987</v>
      </c>
      <c r="D37" s="772" t="s">
        <v>988</v>
      </c>
      <c r="E37" s="740">
        <v>6500000</v>
      </c>
    </row>
    <row r="38" spans="1:5" ht="15.75" thickBot="1">
      <c r="A38" s="1136"/>
      <c r="B38" s="1160" t="s">
        <v>975</v>
      </c>
      <c r="C38" s="1161"/>
      <c r="D38" s="773"/>
      <c r="E38" s="744">
        <v>0</v>
      </c>
    </row>
    <row r="39" spans="1:5" ht="15.75" thickBot="1">
      <c r="A39" s="1136"/>
      <c r="B39" s="774" t="s">
        <v>503</v>
      </c>
      <c r="C39" s="746" t="s">
        <v>989</v>
      </c>
      <c r="D39" s="753"/>
      <c r="E39" s="736">
        <f>SUM(E41,E40)</f>
        <v>53714981</v>
      </c>
    </row>
    <row r="40" spans="1:5">
      <c r="A40" s="1136"/>
      <c r="B40" s="1162" t="s">
        <v>971</v>
      </c>
      <c r="C40" s="1163"/>
      <c r="D40" s="775"/>
      <c r="E40" s="738">
        <v>0</v>
      </c>
    </row>
    <row r="41" spans="1:5">
      <c r="A41" s="1136"/>
      <c r="B41" s="1128" t="s">
        <v>980</v>
      </c>
      <c r="C41" s="1154"/>
      <c r="D41" s="760"/>
      <c r="E41" s="761">
        <f>SUM(E42:E43)</f>
        <v>53714981</v>
      </c>
    </row>
    <row r="42" spans="1:5" ht="44.25" customHeight="1">
      <c r="A42" s="1136"/>
      <c r="B42" s="1145"/>
      <c r="C42" s="776" t="s">
        <v>990</v>
      </c>
      <c r="D42" s="756">
        <v>6259</v>
      </c>
      <c r="E42" s="740">
        <v>7703000</v>
      </c>
    </row>
    <row r="43" spans="1:5" ht="72.75" customHeight="1" thickBot="1">
      <c r="A43" s="1136"/>
      <c r="B43" s="1146"/>
      <c r="C43" s="777" t="s">
        <v>982</v>
      </c>
      <c r="D43" s="778">
        <v>6510</v>
      </c>
      <c r="E43" s="779">
        <v>46011981</v>
      </c>
    </row>
    <row r="44" spans="1:5" s="784" customFormat="1" ht="15.75" customHeight="1" thickBot="1">
      <c r="A44" s="780" t="s">
        <v>447</v>
      </c>
      <c r="B44" s="781"/>
      <c r="C44" s="782" t="s">
        <v>991</v>
      </c>
      <c r="D44" s="783"/>
      <c r="E44" s="732">
        <f>SUM(E45)</f>
        <v>800000</v>
      </c>
    </row>
    <row r="45" spans="1:5" ht="44.25" customHeight="1" thickBot="1">
      <c r="A45" s="1147"/>
      <c r="B45" s="785" t="s">
        <v>448</v>
      </c>
      <c r="C45" s="734" t="s">
        <v>992</v>
      </c>
      <c r="D45" s="735"/>
      <c r="E45" s="736">
        <f>SUM(E46,E49)</f>
        <v>800000</v>
      </c>
    </row>
    <row r="46" spans="1:5">
      <c r="A46" s="1136"/>
      <c r="B46" s="1148" t="s">
        <v>971</v>
      </c>
      <c r="C46" s="1149"/>
      <c r="D46" s="748"/>
      <c r="E46" s="738">
        <f>SUM(E47:E48)</f>
        <v>800000</v>
      </c>
    </row>
    <row r="47" spans="1:5" ht="40.5" customHeight="1">
      <c r="A47" s="1136"/>
      <c r="B47" s="1150"/>
      <c r="C47" s="771" t="s">
        <v>993</v>
      </c>
      <c r="D47" s="786">
        <v>2058</v>
      </c>
      <c r="E47" s="740">
        <v>600000</v>
      </c>
    </row>
    <row r="48" spans="1:5" ht="41.25" customHeight="1">
      <c r="A48" s="1136"/>
      <c r="B48" s="1151"/>
      <c r="C48" s="787" t="s">
        <v>994</v>
      </c>
      <c r="D48" s="786">
        <v>2059</v>
      </c>
      <c r="E48" s="757">
        <v>200000</v>
      </c>
    </row>
    <row r="49" spans="1:7" ht="15.75" thickBot="1">
      <c r="A49" s="1136"/>
      <c r="B49" s="1152" t="s">
        <v>980</v>
      </c>
      <c r="C49" s="1153"/>
      <c r="D49" s="764"/>
      <c r="E49" s="788">
        <v>0</v>
      </c>
    </row>
    <row r="50" spans="1:7" s="784" customFormat="1" ht="15.75" customHeight="1" thickBot="1">
      <c r="A50" s="780" t="s">
        <v>288</v>
      </c>
      <c r="B50" s="789"/>
      <c r="C50" s="790" t="s">
        <v>289</v>
      </c>
      <c r="D50" s="791"/>
      <c r="E50" s="792">
        <f>SUM(E51)</f>
        <v>1368</v>
      </c>
    </row>
    <row r="51" spans="1:7" ht="15" customHeight="1">
      <c r="A51" s="1147"/>
      <c r="B51" s="793" t="s">
        <v>290</v>
      </c>
      <c r="C51" s="794" t="s">
        <v>238</v>
      </c>
      <c r="D51" s="795"/>
      <c r="E51" s="736">
        <f>SUM(E54,E52)</f>
        <v>1368</v>
      </c>
    </row>
    <row r="52" spans="1:7">
      <c r="A52" s="1136"/>
      <c r="B52" s="1128" t="s">
        <v>971</v>
      </c>
      <c r="C52" s="1154"/>
      <c r="D52" s="760"/>
      <c r="E52" s="761">
        <f>SUM(E53)</f>
        <v>1368</v>
      </c>
    </row>
    <row r="53" spans="1:7" ht="42" customHeight="1">
      <c r="A53" s="1136"/>
      <c r="B53" s="796"/>
      <c r="C53" s="797" t="s">
        <v>979</v>
      </c>
      <c r="D53" s="798">
        <v>2360</v>
      </c>
      <c r="E53" s="740">
        <v>1368</v>
      </c>
    </row>
    <row r="54" spans="1:7" ht="15.75" thickBot="1">
      <c r="A54" s="1136"/>
      <c r="B54" s="1144" t="s">
        <v>995</v>
      </c>
      <c r="C54" s="1155"/>
      <c r="D54" s="799"/>
      <c r="E54" s="751">
        <v>0</v>
      </c>
    </row>
    <row r="55" spans="1:7" ht="15.75" thickBot="1">
      <c r="A55" s="800">
        <v>600</v>
      </c>
      <c r="B55" s="801"/>
      <c r="C55" s="802" t="s">
        <v>151</v>
      </c>
      <c r="D55" s="731"/>
      <c r="E55" s="732">
        <f>SUM(E56,E62,E66,E70,E79)</f>
        <v>148134232</v>
      </c>
    </row>
    <row r="56" spans="1:7" ht="15.75" thickBot="1">
      <c r="A56" s="1171"/>
      <c r="B56" s="803">
        <v>60001</v>
      </c>
      <c r="C56" s="746" t="s">
        <v>687</v>
      </c>
      <c r="D56" s="753"/>
      <c r="E56" s="736">
        <f>SUM(E57,E61)</f>
        <v>12629494</v>
      </c>
    </row>
    <row r="57" spans="1:7">
      <c r="A57" s="1132"/>
      <c r="B57" s="1125" t="s">
        <v>971</v>
      </c>
      <c r="C57" s="1172"/>
      <c r="D57" s="804"/>
      <c r="E57" s="754">
        <f>SUM(E58:E60)</f>
        <v>12629494</v>
      </c>
    </row>
    <row r="58" spans="1:7" ht="17.25" customHeight="1">
      <c r="A58" s="1132"/>
      <c r="B58" s="1156"/>
      <c r="C58" s="805" t="s">
        <v>996</v>
      </c>
      <c r="D58" s="806" t="s">
        <v>977</v>
      </c>
      <c r="E58" s="807">
        <v>3103494</v>
      </c>
    </row>
    <row r="59" spans="1:7" ht="17.25" customHeight="1">
      <c r="A59" s="1132"/>
      <c r="B59" s="1156"/>
      <c r="C59" s="808" t="s">
        <v>997</v>
      </c>
      <c r="D59" s="809" t="s">
        <v>974</v>
      </c>
      <c r="E59" s="740">
        <f>8000+18000</f>
        <v>26000</v>
      </c>
      <c r="G59" s="810"/>
    </row>
    <row r="60" spans="1:7" ht="31.5" customHeight="1">
      <c r="A60" s="1132"/>
      <c r="B60" s="1156"/>
      <c r="C60" s="811" t="s">
        <v>998</v>
      </c>
      <c r="D60" s="812" t="s">
        <v>999</v>
      </c>
      <c r="E60" s="813">
        <v>9500000</v>
      </c>
    </row>
    <row r="61" spans="1:7" ht="15.75" customHeight="1" thickBot="1">
      <c r="A61" s="1132"/>
      <c r="B61" s="1144" t="s">
        <v>980</v>
      </c>
      <c r="C61" s="1170"/>
      <c r="D61" s="814"/>
      <c r="E61" s="744">
        <v>0</v>
      </c>
    </row>
    <row r="62" spans="1:7" ht="15.75" thickBot="1">
      <c r="A62" s="1132"/>
      <c r="B62" s="815">
        <v>60003</v>
      </c>
      <c r="C62" s="816" t="s">
        <v>236</v>
      </c>
      <c r="D62" s="735"/>
      <c r="E62" s="736">
        <f>SUM(E63,E65)</f>
        <v>58000000</v>
      </c>
    </row>
    <row r="63" spans="1:7">
      <c r="A63" s="1132"/>
      <c r="B63" s="1173" t="s">
        <v>971</v>
      </c>
      <c r="C63" s="1149"/>
      <c r="D63" s="764"/>
      <c r="E63" s="738">
        <f>SUM(E64)</f>
        <v>58000000</v>
      </c>
    </row>
    <row r="64" spans="1:7" ht="40.5" customHeight="1">
      <c r="A64" s="1132"/>
      <c r="B64" s="817"/>
      <c r="C64" s="776" t="s">
        <v>978</v>
      </c>
      <c r="D64" s="818">
        <v>2210</v>
      </c>
      <c r="E64" s="740">
        <v>58000000</v>
      </c>
    </row>
    <row r="65" spans="1:5" ht="15.75" thickBot="1">
      <c r="A65" s="1132"/>
      <c r="B65" s="1144" t="s">
        <v>975</v>
      </c>
      <c r="C65" s="1155"/>
      <c r="D65" s="799"/>
      <c r="E65" s="751">
        <v>0</v>
      </c>
    </row>
    <row r="66" spans="1:5" ht="15.75" thickBot="1">
      <c r="A66" s="1132"/>
      <c r="B66" s="803">
        <v>60004</v>
      </c>
      <c r="C66" s="746" t="s">
        <v>694</v>
      </c>
      <c r="D66" s="753"/>
      <c r="E66" s="736">
        <v>450000</v>
      </c>
    </row>
    <row r="67" spans="1:5">
      <c r="A67" s="1132"/>
      <c r="B67" s="1173" t="s">
        <v>971</v>
      </c>
      <c r="C67" s="1174"/>
      <c r="D67" s="819"/>
      <c r="E67" s="738">
        <v>450000</v>
      </c>
    </row>
    <row r="68" spans="1:5">
      <c r="A68" s="1132"/>
      <c r="B68" s="786"/>
      <c r="C68" s="771" t="s">
        <v>1000</v>
      </c>
      <c r="D68" s="818" t="s">
        <v>988</v>
      </c>
      <c r="E68" s="740">
        <v>450000</v>
      </c>
    </row>
    <row r="69" spans="1:5" ht="15.75" thickBot="1">
      <c r="A69" s="1132"/>
      <c r="B69" s="1144" t="s">
        <v>975</v>
      </c>
      <c r="C69" s="1155"/>
      <c r="D69" s="799"/>
      <c r="E69" s="751">
        <v>0</v>
      </c>
    </row>
    <row r="70" spans="1:5" ht="15.75" thickBot="1">
      <c r="A70" s="1132"/>
      <c r="B70" s="820">
        <v>60013</v>
      </c>
      <c r="C70" s="746" t="s">
        <v>695</v>
      </c>
      <c r="D70" s="753"/>
      <c r="E70" s="736">
        <f>SUM(E71,E75)</f>
        <v>76972972</v>
      </c>
    </row>
    <row r="71" spans="1:5">
      <c r="A71" s="1132"/>
      <c r="B71" s="1173" t="s">
        <v>971</v>
      </c>
      <c r="C71" s="1174"/>
      <c r="D71" s="819"/>
      <c r="E71" s="738">
        <f>SUM(E72:E74)</f>
        <v>15598007</v>
      </c>
    </row>
    <row r="72" spans="1:5" ht="30.75" customHeight="1">
      <c r="A72" s="1132"/>
      <c r="B72" s="1175"/>
      <c r="C72" s="1164" t="s">
        <v>1001</v>
      </c>
      <c r="D72" s="772" t="s">
        <v>988</v>
      </c>
      <c r="E72" s="740">
        <v>800000</v>
      </c>
    </row>
    <row r="73" spans="1:5" ht="43.5" customHeight="1">
      <c r="A73" s="1132"/>
      <c r="B73" s="1176"/>
      <c r="C73" s="1165"/>
      <c r="D73" s="772" t="s">
        <v>974</v>
      </c>
      <c r="E73" s="740">
        <v>9000</v>
      </c>
    </row>
    <row r="74" spans="1:5" ht="43.5" customHeight="1">
      <c r="A74" s="1132"/>
      <c r="B74" s="1176"/>
      <c r="C74" s="821" t="s">
        <v>1002</v>
      </c>
      <c r="D74" s="772" t="s">
        <v>1003</v>
      </c>
      <c r="E74" s="740">
        <v>14789007</v>
      </c>
    </row>
    <row r="75" spans="1:5">
      <c r="A75" s="1132"/>
      <c r="B75" s="1128" t="s">
        <v>980</v>
      </c>
      <c r="C75" s="1154"/>
      <c r="D75" s="760"/>
      <c r="E75" s="751">
        <f>SUM(E76:E78)</f>
        <v>61374965</v>
      </c>
    </row>
    <row r="76" spans="1:5" ht="42.75" customHeight="1">
      <c r="A76" s="1132"/>
      <c r="B76" s="1156"/>
      <c r="C76" s="822" t="s">
        <v>1004</v>
      </c>
      <c r="D76" s="823">
        <v>6257</v>
      </c>
      <c r="E76" s="813">
        <v>53979965</v>
      </c>
    </row>
    <row r="77" spans="1:5" ht="53.25" customHeight="1">
      <c r="A77" s="1132"/>
      <c r="B77" s="1156"/>
      <c r="C77" s="824" t="s">
        <v>1005</v>
      </c>
      <c r="D77" s="786">
        <v>6257</v>
      </c>
      <c r="E77" s="740">
        <v>5445000</v>
      </c>
    </row>
    <row r="78" spans="1:5" ht="45.75" customHeight="1" thickBot="1">
      <c r="A78" s="1132"/>
      <c r="B78" s="1166"/>
      <c r="C78" s="825" t="s">
        <v>1006</v>
      </c>
      <c r="D78" s="798">
        <v>6309</v>
      </c>
      <c r="E78" s="757">
        <v>1950000</v>
      </c>
    </row>
    <row r="79" spans="1:5" ht="15.75" thickBot="1">
      <c r="A79" s="1132"/>
      <c r="B79" s="826">
        <v>60095</v>
      </c>
      <c r="C79" s="827" t="s">
        <v>238</v>
      </c>
      <c r="D79" s="828"/>
      <c r="E79" s="829">
        <f>SUM(E80,E84)</f>
        <v>81766</v>
      </c>
    </row>
    <row r="80" spans="1:5">
      <c r="A80" s="1132"/>
      <c r="B80" s="1162" t="s">
        <v>971</v>
      </c>
      <c r="C80" s="1167"/>
      <c r="D80" s="830"/>
      <c r="E80" s="831">
        <f>SUM(E81:E83)</f>
        <v>81766</v>
      </c>
    </row>
    <row r="81" spans="1:5" ht="51">
      <c r="A81" s="1132"/>
      <c r="B81" s="1168"/>
      <c r="C81" s="832" t="s">
        <v>1007</v>
      </c>
      <c r="D81" s="833" t="s">
        <v>988</v>
      </c>
      <c r="E81" s="740">
        <v>3450</v>
      </c>
    </row>
    <row r="82" spans="1:5" ht="38.25">
      <c r="A82" s="1132"/>
      <c r="B82" s="1169"/>
      <c r="C82" s="834" t="s">
        <v>978</v>
      </c>
      <c r="D82" s="835">
        <v>2210</v>
      </c>
      <c r="E82" s="757">
        <v>75000</v>
      </c>
    </row>
    <row r="83" spans="1:5" ht="38.25">
      <c r="A83" s="1132"/>
      <c r="B83" s="1169"/>
      <c r="C83" s="836" t="s">
        <v>979</v>
      </c>
      <c r="D83" s="837">
        <v>2360</v>
      </c>
      <c r="E83" s="740">
        <v>3316</v>
      </c>
    </row>
    <row r="84" spans="1:5" ht="15.75" thickBot="1">
      <c r="A84" s="1133"/>
      <c r="B84" s="1144" t="s">
        <v>975</v>
      </c>
      <c r="C84" s="1170"/>
      <c r="D84" s="838"/>
      <c r="E84" s="751">
        <v>0</v>
      </c>
    </row>
    <row r="85" spans="1:5" ht="15.75" thickBot="1">
      <c r="A85" s="839">
        <v>700</v>
      </c>
      <c r="B85" s="840"/>
      <c r="C85" s="841" t="s">
        <v>1008</v>
      </c>
      <c r="D85" s="842"/>
      <c r="E85" s="732">
        <f>SUM(E86)</f>
        <v>11132200</v>
      </c>
    </row>
    <row r="86" spans="1:5" ht="15.75" thickBot="1">
      <c r="A86" s="1185"/>
      <c r="B86" s="803">
        <v>70005</v>
      </c>
      <c r="C86" s="746" t="s">
        <v>715</v>
      </c>
      <c r="D86" s="753"/>
      <c r="E86" s="829">
        <f>SUM(E87,E91)</f>
        <v>11132200</v>
      </c>
    </row>
    <row r="87" spans="1:5">
      <c r="A87" s="1186"/>
      <c r="B87" s="1173" t="s">
        <v>971</v>
      </c>
      <c r="C87" s="1174"/>
      <c r="D87" s="819"/>
      <c r="E87" s="843">
        <f>SUM(E88:E90)</f>
        <v>314000</v>
      </c>
    </row>
    <row r="88" spans="1:5" ht="15" customHeight="1">
      <c r="A88" s="1186"/>
      <c r="B88" s="1188"/>
      <c r="C88" s="844" t="s">
        <v>1009</v>
      </c>
      <c r="D88" s="818" t="s">
        <v>1010</v>
      </c>
      <c r="E88" s="813">
        <v>290000</v>
      </c>
    </row>
    <row r="89" spans="1:5" ht="15" customHeight="1">
      <c r="A89" s="1186"/>
      <c r="B89" s="1186"/>
      <c r="C89" s="845" t="s">
        <v>1011</v>
      </c>
      <c r="D89" s="772" t="s">
        <v>1012</v>
      </c>
      <c r="E89" s="740">
        <v>18000</v>
      </c>
    </row>
    <row r="90" spans="1:5" ht="18" customHeight="1">
      <c r="A90" s="1186"/>
      <c r="B90" s="1189"/>
      <c r="C90" s="846" t="s">
        <v>1013</v>
      </c>
      <c r="D90" s="818" t="s">
        <v>977</v>
      </c>
      <c r="E90" s="740">
        <v>6000</v>
      </c>
    </row>
    <row r="91" spans="1:5">
      <c r="A91" s="1186"/>
      <c r="B91" s="1190" t="s">
        <v>980</v>
      </c>
      <c r="C91" s="1154"/>
      <c r="D91" s="819"/>
      <c r="E91" s="761">
        <f>SUM(E92:E94)</f>
        <v>10818200</v>
      </c>
    </row>
    <row r="92" spans="1:5" s="848" customFormat="1" ht="25.5">
      <c r="A92" s="1186"/>
      <c r="B92" s="1191"/>
      <c r="C92" s="767" t="s">
        <v>1014</v>
      </c>
      <c r="D92" s="847" t="s">
        <v>1015</v>
      </c>
      <c r="E92" s="740">
        <v>1700</v>
      </c>
    </row>
    <row r="93" spans="1:5" ht="16.5" customHeight="1">
      <c r="A93" s="1186"/>
      <c r="B93" s="1156"/>
      <c r="C93" s="849" t="s">
        <v>1016</v>
      </c>
      <c r="D93" s="1192" t="s">
        <v>1017</v>
      </c>
      <c r="E93" s="1177">
        <v>10816500</v>
      </c>
    </row>
    <row r="94" spans="1:5" ht="219" customHeight="1" thickBot="1">
      <c r="A94" s="1187"/>
      <c r="B94" s="1166"/>
      <c r="C94" s="850" t="s">
        <v>1018</v>
      </c>
      <c r="D94" s="1193"/>
      <c r="E94" s="1178"/>
    </row>
    <row r="95" spans="1:5" ht="15.75" thickBot="1">
      <c r="A95" s="839">
        <v>710</v>
      </c>
      <c r="B95" s="851"/>
      <c r="C95" s="841" t="s">
        <v>240</v>
      </c>
      <c r="D95" s="852"/>
      <c r="E95" s="732">
        <f>SUM(E96,E101,E105,E111)</f>
        <v>644501</v>
      </c>
    </row>
    <row r="96" spans="1:5" ht="15.75" thickBot="1">
      <c r="A96" s="1171"/>
      <c r="B96" s="820">
        <v>71003</v>
      </c>
      <c r="C96" s="746" t="s">
        <v>718</v>
      </c>
      <c r="D96" s="753"/>
      <c r="E96" s="736">
        <f>SUM(E97,E100)</f>
        <v>50000</v>
      </c>
    </row>
    <row r="97" spans="1:5">
      <c r="A97" s="1132"/>
      <c r="B97" s="1179" t="s">
        <v>971</v>
      </c>
      <c r="C97" s="1174"/>
      <c r="D97" s="819"/>
      <c r="E97" s="738">
        <f>SUM(E98:E99)</f>
        <v>50000</v>
      </c>
    </row>
    <row r="98" spans="1:5" ht="21" customHeight="1">
      <c r="A98" s="1132"/>
      <c r="B98" s="1175"/>
      <c r="C98" s="1180" t="s">
        <v>1019</v>
      </c>
      <c r="D98" s="772" t="s">
        <v>977</v>
      </c>
      <c r="E98" s="740">
        <v>9900</v>
      </c>
    </row>
    <row r="99" spans="1:5" ht="21" customHeight="1">
      <c r="A99" s="1132"/>
      <c r="B99" s="1176"/>
      <c r="C99" s="1181"/>
      <c r="D99" s="853" t="s">
        <v>973</v>
      </c>
      <c r="E99" s="740">
        <v>40100</v>
      </c>
    </row>
    <row r="100" spans="1:5" ht="15.75" thickBot="1">
      <c r="A100" s="1132"/>
      <c r="B100" s="1144" t="s">
        <v>975</v>
      </c>
      <c r="C100" s="1155"/>
      <c r="D100" s="799"/>
      <c r="E100" s="854">
        <v>0</v>
      </c>
    </row>
    <row r="101" spans="1:5" ht="15.75" thickBot="1">
      <c r="A101" s="1132"/>
      <c r="B101" s="803">
        <v>71005</v>
      </c>
      <c r="C101" s="746" t="s">
        <v>293</v>
      </c>
      <c r="D101" s="753"/>
      <c r="E101" s="736">
        <f>SUM(E104,E102)</f>
        <v>421</v>
      </c>
    </row>
    <row r="102" spans="1:5">
      <c r="A102" s="1132"/>
      <c r="B102" s="1173" t="s">
        <v>971</v>
      </c>
      <c r="C102" s="1174"/>
      <c r="D102" s="819"/>
      <c r="E102" s="738">
        <f>SUM(E103)</f>
        <v>421</v>
      </c>
    </row>
    <row r="103" spans="1:5" ht="38.25">
      <c r="A103" s="1132"/>
      <c r="B103" s="855"/>
      <c r="C103" s="771" t="s">
        <v>979</v>
      </c>
      <c r="D103" s="856">
        <v>2360</v>
      </c>
      <c r="E103" s="740">
        <v>421</v>
      </c>
    </row>
    <row r="104" spans="1:5" ht="15.75" thickBot="1">
      <c r="A104" s="1132"/>
      <c r="B104" s="1144" t="s">
        <v>975</v>
      </c>
      <c r="C104" s="1155"/>
      <c r="D104" s="799"/>
      <c r="E104" s="751">
        <v>0</v>
      </c>
    </row>
    <row r="105" spans="1:5" ht="15.75" thickBot="1">
      <c r="A105" s="1132"/>
      <c r="B105" s="857">
        <v>71012</v>
      </c>
      <c r="C105" s="746" t="s">
        <v>242</v>
      </c>
      <c r="D105" s="753"/>
      <c r="E105" s="736">
        <f>SUM(E106,E110)</f>
        <v>489080</v>
      </c>
    </row>
    <row r="106" spans="1:5">
      <c r="A106" s="1132"/>
      <c r="B106" s="1173" t="s">
        <v>971</v>
      </c>
      <c r="C106" s="1174"/>
      <c r="D106" s="819"/>
      <c r="E106" s="738">
        <f>SUM(E107:E109)</f>
        <v>489080</v>
      </c>
    </row>
    <row r="107" spans="1:5" ht="20.25" customHeight="1">
      <c r="A107" s="1132"/>
      <c r="B107" s="1182"/>
      <c r="C107" s="1195" t="s">
        <v>1020</v>
      </c>
      <c r="D107" s="772" t="s">
        <v>988</v>
      </c>
      <c r="E107" s="740">
        <v>15000</v>
      </c>
    </row>
    <row r="108" spans="1:5" ht="51.75" customHeight="1">
      <c r="A108" s="1132"/>
      <c r="B108" s="1183"/>
      <c r="C108" s="1196"/>
      <c r="D108" s="772" t="s">
        <v>974</v>
      </c>
      <c r="E108" s="740">
        <v>80</v>
      </c>
    </row>
    <row r="109" spans="1:5" ht="40.5" customHeight="1">
      <c r="A109" s="1132"/>
      <c r="B109" s="1184"/>
      <c r="C109" s="771" t="s">
        <v>978</v>
      </c>
      <c r="D109" s="772" t="s">
        <v>1021</v>
      </c>
      <c r="E109" s="740">
        <v>474000</v>
      </c>
    </row>
    <row r="110" spans="1:5" ht="16.5" customHeight="1" thickBot="1">
      <c r="A110" s="1132"/>
      <c r="B110" s="1158" t="s">
        <v>975</v>
      </c>
      <c r="C110" s="1197"/>
      <c r="D110" s="858"/>
      <c r="E110" s="751">
        <v>0</v>
      </c>
    </row>
    <row r="111" spans="1:5" ht="15.75" thickBot="1">
      <c r="A111" s="1132"/>
      <c r="B111" s="820">
        <v>71095</v>
      </c>
      <c r="C111" s="734" t="s">
        <v>238</v>
      </c>
      <c r="D111" s="735"/>
      <c r="E111" s="829">
        <f>SUM(E112,E114)</f>
        <v>105000</v>
      </c>
    </row>
    <row r="112" spans="1:5">
      <c r="A112" s="1132"/>
      <c r="B112" s="1179" t="s">
        <v>971</v>
      </c>
      <c r="C112" s="1174"/>
      <c r="D112" s="819"/>
      <c r="E112" s="738">
        <f>SUM(E113)</f>
        <v>100000</v>
      </c>
    </row>
    <row r="113" spans="1:5" ht="38.25">
      <c r="A113" s="1132"/>
      <c r="B113" s="859"/>
      <c r="C113" s="849" t="s">
        <v>978</v>
      </c>
      <c r="D113" s="798">
        <v>2210</v>
      </c>
      <c r="E113" s="740">
        <v>100000</v>
      </c>
    </row>
    <row r="114" spans="1:5">
      <c r="A114" s="1132"/>
      <c r="B114" s="1128" t="s">
        <v>980</v>
      </c>
      <c r="C114" s="1154"/>
      <c r="D114" s="860"/>
      <c r="E114" s="788">
        <f>SUM(E115)</f>
        <v>5000</v>
      </c>
    </row>
    <row r="115" spans="1:5" ht="39.75" customHeight="1" thickBot="1">
      <c r="A115" s="1133"/>
      <c r="B115" s="861"/>
      <c r="C115" s="862" t="s">
        <v>1022</v>
      </c>
      <c r="D115" s="863">
        <v>6510</v>
      </c>
      <c r="E115" s="779">
        <v>5000</v>
      </c>
    </row>
    <row r="116" spans="1:5" s="867" customFormat="1" ht="17.25" customHeight="1" thickBot="1">
      <c r="A116" s="800">
        <v>720</v>
      </c>
      <c r="B116" s="864"/>
      <c r="C116" s="865" t="s">
        <v>1023</v>
      </c>
      <c r="D116" s="866"/>
      <c r="E116" s="792">
        <f>SUM(E117)</f>
        <v>10000000</v>
      </c>
    </row>
    <row r="117" spans="1:5" ht="15.75" thickBot="1">
      <c r="A117" s="1171"/>
      <c r="B117" s="868">
        <v>72095</v>
      </c>
      <c r="C117" s="746" t="s">
        <v>238</v>
      </c>
      <c r="D117" s="753"/>
      <c r="E117" s="736">
        <f>SUM(E118,E120)</f>
        <v>10000000</v>
      </c>
    </row>
    <row r="118" spans="1:5">
      <c r="A118" s="1132"/>
      <c r="B118" s="1125" t="s">
        <v>971</v>
      </c>
      <c r="C118" s="1172"/>
      <c r="D118" s="748"/>
      <c r="E118" s="754">
        <f>SUM(E119)</f>
        <v>10000000</v>
      </c>
    </row>
    <row r="119" spans="1:5" ht="55.5" customHeight="1">
      <c r="A119" s="1132"/>
      <c r="B119" s="817"/>
      <c r="C119" s="869" t="s">
        <v>1024</v>
      </c>
      <c r="D119" s="870" t="s">
        <v>974</v>
      </c>
      <c r="E119" s="807">
        <v>10000000</v>
      </c>
    </row>
    <row r="120" spans="1:5" ht="15.75" thickBot="1">
      <c r="A120" s="1132"/>
      <c r="B120" s="1128" t="s">
        <v>980</v>
      </c>
      <c r="C120" s="1154"/>
      <c r="D120" s="871"/>
      <c r="E120" s="761">
        <v>0</v>
      </c>
    </row>
    <row r="121" spans="1:5" ht="15.75" thickBot="1">
      <c r="A121" s="839">
        <v>730</v>
      </c>
      <c r="B121" s="872"/>
      <c r="C121" s="873" t="s">
        <v>1025</v>
      </c>
      <c r="D121" s="852"/>
      <c r="E121" s="874">
        <f>SUM(E122)</f>
        <v>139191</v>
      </c>
    </row>
    <row r="122" spans="1:5" ht="15.75" thickBot="1">
      <c r="A122" s="1194"/>
      <c r="B122" s="803">
        <v>73095</v>
      </c>
      <c r="C122" s="875" t="s">
        <v>238</v>
      </c>
      <c r="D122" s="753"/>
      <c r="E122" s="736">
        <f>SUM(E123,E125)</f>
        <v>139191</v>
      </c>
    </row>
    <row r="123" spans="1:5">
      <c r="A123" s="1194"/>
      <c r="B123" s="1173" t="s">
        <v>971</v>
      </c>
      <c r="C123" s="1174"/>
      <c r="D123" s="819"/>
      <c r="E123" s="738">
        <f>SUM(E124)</f>
        <v>139191</v>
      </c>
    </row>
    <row r="124" spans="1:5" ht="55.5" customHeight="1">
      <c r="A124" s="1194"/>
      <c r="B124" s="876"/>
      <c r="C124" s="877" t="s">
        <v>1026</v>
      </c>
      <c r="D124" s="878">
        <v>2058</v>
      </c>
      <c r="E124" s="740">
        <v>139191</v>
      </c>
    </row>
    <row r="125" spans="1:5" ht="15.75" thickBot="1">
      <c r="A125" s="1194"/>
      <c r="B125" s="1140" t="s">
        <v>975</v>
      </c>
      <c r="C125" s="1155"/>
      <c r="D125" s="799"/>
      <c r="E125" s="751">
        <v>0</v>
      </c>
    </row>
    <row r="126" spans="1:5" ht="15.75" thickBot="1">
      <c r="A126" s="839">
        <v>750</v>
      </c>
      <c r="B126" s="872"/>
      <c r="C126" s="873" t="s">
        <v>18</v>
      </c>
      <c r="D126" s="852"/>
      <c r="E126" s="732">
        <f>SUM(E127,E131,E138,E143,E147,E151)</f>
        <v>8301398</v>
      </c>
    </row>
    <row r="127" spans="1:5" ht="15.75" thickBot="1">
      <c r="A127" s="1194"/>
      <c r="B127" s="803">
        <v>75011</v>
      </c>
      <c r="C127" s="875" t="s">
        <v>245</v>
      </c>
      <c r="D127" s="753"/>
      <c r="E127" s="736">
        <f>SUM(E128,E130)</f>
        <v>382000</v>
      </c>
    </row>
    <row r="128" spans="1:5">
      <c r="A128" s="1194"/>
      <c r="B128" s="1173" t="s">
        <v>971</v>
      </c>
      <c r="C128" s="1174"/>
      <c r="D128" s="819"/>
      <c r="E128" s="738">
        <f>SUM(E129)</f>
        <v>382000</v>
      </c>
    </row>
    <row r="129" spans="1:5" ht="38.25">
      <c r="A129" s="1194"/>
      <c r="B129" s="876"/>
      <c r="C129" s="877" t="s">
        <v>1027</v>
      </c>
      <c r="D129" s="878">
        <v>2210</v>
      </c>
      <c r="E129" s="740">
        <v>382000</v>
      </c>
    </row>
    <row r="130" spans="1:5" ht="15.75" thickBot="1">
      <c r="A130" s="1194"/>
      <c r="B130" s="1140" t="s">
        <v>975</v>
      </c>
      <c r="C130" s="1155"/>
      <c r="D130" s="799"/>
      <c r="E130" s="751">
        <v>0</v>
      </c>
    </row>
    <row r="131" spans="1:5" ht="15.75" thickBot="1">
      <c r="A131" s="1132"/>
      <c r="B131" s="803">
        <v>75018</v>
      </c>
      <c r="C131" s="746" t="s">
        <v>736</v>
      </c>
      <c r="D131" s="753"/>
      <c r="E131" s="736">
        <f>SUM(E132,E137)</f>
        <v>234000</v>
      </c>
    </row>
    <row r="132" spans="1:5">
      <c r="A132" s="1132"/>
      <c r="B132" s="1173" t="s">
        <v>971</v>
      </c>
      <c r="C132" s="1174"/>
      <c r="D132" s="819"/>
      <c r="E132" s="738">
        <f>SUM(E133:E136)</f>
        <v>234000</v>
      </c>
    </row>
    <row r="133" spans="1:5" ht="22.5" customHeight="1">
      <c r="A133" s="1132"/>
      <c r="B133" s="1156"/>
      <c r="C133" s="1200" t="s">
        <v>1028</v>
      </c>
      <c r="D133" s="772" t="s">
        <v>988</v>
      </c>
      <c r="E133" s="740">
        <v>10000</v>
      </c>
    </row>
    <row r="134" spans="1:5" ht="38.25" customHeight="1">
      <c r="A134" s="1132"/>
      <c r="B134" s="1156"/>
      <c r="C134" s="1200"/>
      <c r="D134" s="772" t="s">
        <v>977</v>
      </c>
      <c r="E134" s="757">
        <v>50000</v>
      </c>
    </row>
    <row r="135" spans="1:5" ht="28.5" customHeight="1">
      <c r="A135" s="1132"/>
      <c r="B135" s="1156"/>
      <c r="C135" s="1200"/>
      <c r="D135" s="772" t="s">
        <v>974</v>
      </c>
      <c r="E135" s="740">
        <v>100000</v>
      </c>
    </row>
    <row r="136" spans="1:5" ht="30" customHeight="1">
      <c r="A136" s="1132"/>
      <c r="B136" s="1157"/>
      <c r="C136" s="846" t="s">
        <v>1029</v>
      </c>
      <c r="D136" s="772" t="s">
        <v>1003</v>
      </c>
      <c r="E136" s="740">
        <v>74000</v>
      </c>
    </row>
    <row r="137" spans="1:5" ht="15.75" thickBot="1">
      <c r="A137" s="1132"/>
      <c r="B137" s="1158" t="s">
        <v>980</v>
      </c>
      <c r="C137" s="1201"/>
      <c r="D137" s="764"/>
      <c r="E137" s="751">
        <v>0</v>
      </c>
    </row>
    <row r="138" spans="1:5" ht="15.75" thickBot="1">
      <c r="A138" s="1132"/>
      <c r="B138" s="803">
        <v>75046</v>
      </c>
      <c r="C138" s="746" t="s">
        <v>247</v>
      </c>
      <c r="D138" s="753"/>
      <c r="E138" s="736">
        <f>SUM(E139,E142)</f>
        <v>21053</v>
      </c>
    </row>
    <row r="139" spans="1:5">
      <c r="A139" s="1132"/>
      <c r="B139" s="1173" t="s">
        <v>971</v>
      </c>
      <c r="C139" s="1174"/>
      <c r="D139" s="819"/>
      <c r="E139" s="738">
        <f>SUM(E140:E141)</f>
        <v>21053</v>
      </c>
    </row>
    <row r="140" spans="1:5" ht="38.25">
      <c r="A140" s="1132"/>
      <c r="B140" s="1182"/>
      <c r="C140" s="877" t="s">
        <v>978</v>
      </c>
      <c r="D140" s="878">
        <v>2210</v>
      </c>
      <c r="E140" s="740">
        <v>20000</v>
      </c>
    </row>
    <row r="141" spans="1:5" ht="38.25">
      <c r="A141" s="1132"/>
      <c r="B141" s="1183"/>
      <c r="C141" s="849" t="s">
        <v>979</v>
      </c>
      <c r="D141" s="798">
        <v>2360</v>
      </c>
      <c r="E141" s="740">
        <v>1053</v>
      </c>
    </row>
    <row r="142" spans="1:5" ht="15.75" thickBot="1">
      <c r="A142" s="1132"/>
      <c r="B142" s="1144" t="s">
        <v>975</v>
      </c>
      <c r="C142" s="1155"/>
      <c r="D142" s="799"/>
      <c r="E142" s="751">
        <v>0</v>
      </c>
    </row>
    <row r="143" spans="1:5" ht="15.75" thickBot="1">
      <c r="A143" s="879"/>
      <c r="B143" s="880">
        <v>75075</v>
      </c>
      <c r="C143" s="881" t="s">
        <v>6</v>
      </c>
      <c r="D143" s="882"/>
      <c r="E143" s="736">
        <f>SUM(E146,E144)</f>
        <v>3100000</v>
      </c>
    </row>
    <row r="144" spans="1:5">
      <c r="A144" s="879"/>
      <c r="B144" s="1125" t="s">
        <v>971</v>
      </c>
      <c r="C144" s="1126"/>
      <c r="D144" s="748"/>
      <c r="E144" s="738">
        <f>SUM(E145)</f>
        <v>3100000</v>
      </c>
    </row>
    <row r="145" spans="1:5" ht="38.25">
      <c r="A145" s="879"/>
      <c r="B145" s="883"/>
      <c r="C145" s="884" t="s">
        <v>1030</v>
      </c>
      <c r="D145" s="835">
        <v>2710</v>
      </c>
      <c r="E145" s="740">
        <v>3100000</v>
      </c>
    </row>
    <row r="146" spans="1:5" ht="15.75" thickBot="1">
      <c r="A146" s="879"/>
      <c r="B146" s="1198" t="s">
        <v>980</v>
      </c>
      <c r="C146" s="1199"/>
      <c r="D146" s="885"/>
      <c r="E146" s="751">
        <v>0</v>
      </c>
    </row>
    <row r="147" spans="1:5" ht="15.75" thickBot="1">
      <c r="A147" s="879"/>
      <c r="B147" s="880">
        <v>75084</v>
      </c>
      <c r="C147" s="886" t="s">
        <v>249</v>
      </c>
      <c r="D147" s="887"/>
      <c r="E147" s="736">
        <f>SUM(E148,E150)</f>
        <v>37000</v>
      </c>
    </row>
    <row r="148" spans="1:5">
      <c r="A148" s="879"/>
      <c r="B148" s="1148" t="s">
        <v>971</v>
      </c>
      <c r="C148" s="1174"/>
      <c r="D148" s="748"/>
      <c r="E148" s="754">
        <f>SUM(E149)</f>
        <v>37000</v>
      </c>
    </row>
    <row r="149" spans="1:5" ht="38.25">
      <c r="A149" s="879"/>
      <c r="B149" s="888"/>
      <c r="C149" s="889" t="s">
        <v>978</v>
      </c>
      <c r="D149" s="890">
        <v>2210</v>
      </c>
      <c r="E149" s="740">
        <v>37000</v>
      </c>
    </row>
    <row r="150" spans="1:5" ht="15.75" thickBot="1">
      <c r="A150" s="879"/>
      <c r="B150" s="1198" t="s">
        <v>975</v>
      </c>
      <c r="C150" s="1199"/>
      <c r="D150" s="885"/>
      <c r="E150" s="744">
        <v>0</v>
      </c>
    </row>
    <row r="151" spans="1:5" ht="15.75" thickBot="1">
      <c r="A151" s="1132"/>
      <c r="B151" s="820">
        <v>75095</v>
      </c>
      <c r="C151" s="746" t="s">
        <v>238</v>
      </c>
      <c r="D151" s="753"/>
      <c r="E151" s="829">
        <f>SUM(E152,E159)</f>
        <v>4527345</v>
      </c>
    </row>
    <row r="152" spans="1:5">
      <c r="A152" s="1132"/>
      <c r="B152" s="1125" t="s">
        <v>971</v>
      </c>
      <c r="C152" s="1172"/>
      <c r="D152" s="804"/>
      <c r="E152" s="754">
        <f>SUM(E153:E158)</f>
        <v>4498845</v>
      </c>
    </row>
    <row r="153" spans="1:5" ht="43.5" customHeight="1">
      <c r="A153" s="1132"/>
      <c r="B153" s="1191"/>
      <c r="C153" s="891" t="s">
        <v>1031</v>
      </c>
      <c r="D153" s="1206">
        <v>2008</v>
      </c>
      <c r="E153" s="740">
        <v>1785000</v>
      </c>
    </row>
    <row r="154" spans="1:5" ht="54" customHeight="1" thickBot="1">
      <c r="A154" s="1132"/>
      <c r="B154" s="1156"/>
      <c r="C154" s="892" t="s">
        <v>1032</v>
      </c>
      <c r="D154" s="1207"/>
      <c r="E154" s="893">
        <v>1962667</v>
      </c>
    </row>
    <row r="155" spans="1:5" ht="45" customHeight="1">
      <c r="A155" s="1132"/>
      <c r="B155" s="1156"/>
      <c r="C155" s="894" t="s">
        <v>1033</v>
      </c>
      <c r="D155" s="1208">
        <v>2009</v>
      </c>
      <c r="E155" s="807">
        <v>315000</v>
      </c>
    </row>
    <row r="156" spans="1:5" ht="51" customHeight="1">
      <c r="A156" s="1132"/>
      <c r="B156" s="1156"/>
      <c r="C156" s="767" t="s">
        <v>1034</v>
      </c>
      <c r="D156" s="1209"/>
      <c r="E156" s="757">
        <v>346353</v>
      </c>
    </row>
    <row r="157" spans="1:5" ht="51" customHeight="1">
      <c r="A157" s="1132"/>
      <c r="B157" s="1156"/>
      <c r="C157" s="895" t="s">
        <v>1035</v>
      </c>
      <c r="D157" s="896">
        <v>2058</v>
      </c>
      <c r="E157" s="740">
        <v>71825</v>
      </c>
    </row>
    <row r="158" spans="1:5" ht="51" customHeight="1">
      <c r="A158" s="1132"/>
      <c r="B158" s="1156"/>
      <c r="C158" s="895" t="s">
        <v>1036</v>
      </c>
      <c r="D158" s="896">
        <v>2059</v>
      </c>
      <c r="E158" s="757">
        <v>18000</v>
      </c>
    </row>
    <row r="159" spans="1:5">
      <c r="A159" s="1132"/>
      <c r="B159" s="1128" t="s">
        <v>980</v>
      </c>
      <c r="C159" s="1129"/>
      <c r="D159" s="897"/>
      <c r="E159" s="761">
        <f>SUM(E160:E161)</f>
        <v>28500</v>
      </c>
    </row>
    <row r="160" spans="1:5" ht="60.75" customHeight="1">
      <c r="A160" s="898"/>
      <c r="B160" s="1210"/>
      <c r="C160" s="899" t="s">
        <v>1035</v>
      </c>
      <c r="D160" s="900">
        <v>6258</v>
      </c>
      <c r="E160" s="757">
        <v>25500</v>
      </c>
    </row>
    <row r="161" spans="1:5" ht="60.75" customHeight="1" thickBot="1">
      <c r="A161" s="898"/>
      <c r="B161" s="1210"/>
      <c r="C161" s="901" t="s">
        <v>1036</v>
      </c>
      <c r="D161" s="902">
        <v>6259</v>
      </c>
      <c r="E161" s="779">
        <v>3000</v>
      </c>
    </row>
    <row r="162" spans="1:5" ht="15.75" thickBot="1">
      <c r="A162" s="839">
        <v>752</v>
      </c>
      <c r="B162" s="872"/>
      <c r="C162" s="841" t="s">
        <v>251</v>
      </c>
      <c r="D162" s="852"/>
      <c r="E162" s="732">
        <f>SUM(E163)</f>
        <v>5000</v>
      </c>
    </row>
    <row r="163" spans="1:5" ht="15.75" thickBot="1">
      <c r="A163" s="1171"/>
      <c r="B163" s="803">
        <v>75212</v>
      </c>
      <c r="C163" s="746" t="s">
        <v>253</v>
      </c>
      <c r="D163" s="753"/>
      <c r="E163" s="736">
        <f>SUM(E164,E166)</f>
        <v>5000</v>
      </c>
    </row>
    <row r="164" spans="1:5">
      <c r="A164" s="1132"/>
      <c r="B164" s="1173" t="s">
        <v>971</v>
      </c>
      <c r="C164" s="1173"/>
      <c r="D164" s="903"/>
      <c r="E164" s="738">
        <f>SUM(E165)</f>
        <v>5000</v>
      </c>
    </row>
    <row r="165" spans="1:5" ht="38.25">
      <c r="A165" s="1132"/>
      <c r="B165" s="904"/>
      <c r="C165" s="877" t="s">
        <v>978</v>
      </c>
      <c r="D165" s="878">
        <v>2210</v>
      </c>
      <c r="E165" s="740">
        <v>5000</v>
      </c>
    </row>
    <row r="166" spans="1:5" ht="15.75" thickBot="1">
      <c r="A166" s="1133"/>
      <c r="B166" s="1158" t="s">
        <v>975</v>
      </c>
      <c r="C166" s="1153"/>
      <c r="D166" s="760"/>
      <c r="E166" s="751">
        <v>0</v>
      </c>
    </row>
    <row r="167" spans="1:5" ht="43.5" customHeight="1" thickBot="1">
      <c r="A167" s="839">
        <v>756</v>
      </c>
      <c r="B167" s="851"/>
      <c r="C167" s="841" t="s">
        <v>1037</v>
      </c>
      <c r="D167" s="852"/>
      <c r="E167" s="732">
        <f>SUM(E168,E173)</f>
        <v>198686303</v>
      </c>
    </row>
    <row r="168" spans="1:5" ht="26.25" thickBot="1">
      <c r="A168" s="1171"/>
      <c r="B168" s="803">
        <v>75618</v>
      </c>
      <c r="C168" s="746" t="s">
        <v>1038</v>
      </c>
      <c r="D168" s="753"/>
      <c r="E168" s="736">
        <f>SUM(E169,E172)</f>
        <v>664900</v>
      </c>
    </row>
    <row r="169" spans="1:5">
      <c r="A169" s="1132"/>
      <c r="B169" s="1125" t="s">
        <v>971</v>
      </c>
      <c r="C169" s="1137"/>
      <c r="D169" s="905"/>
      <c r="E169" s="738">
        <f>SUM(E170:E171)</f>
        <v>664900</v>
      </c>
    </row>
    <row r="170" spans="1:5" ht="15.75" customHeight="1">
      <c r="A170" s="1132"/>
      <c r="B170" s="1202"/>
      <c r="C170" s="877" t="s">
        <v>1039</v>
      </c>
      <c r="D170" s="772" t="s">
        <v>1040</v>
      </c>
      <c r="E170" s="740">
        <v>646900</v>
      </c>
    </row>
    <row r="171" spans="1:5">
      <c r="A171" s="1132"/>
      <c r="B171" s="1202"/>
      <c r="C171" s="906" t="s">
        <v>1041</v>
      </c>
      <c r="D171" s="853" t="s">
        <v>974</v>
      </c>
      <c r="E171" s="740">
        <v>18000</v>
      </c>
    </row>
    <row r="172" spans="1:5" ht="15.75" thickBot="1">
      <c r="A172" s="1132"/>
      <c r="B172" s="1144" t="s">
        <v>975</v>
      </c>
      <c r="C172" s="1155"/>
      <c r="D172" s="799"/>
      <c r="E172" s="751">
        <v>0</v>
      </c>
    </row>
    <row r="173" spans="1:5" ht="26.25" thickBot="1">
      <c r="A173" s="1132"/>
      <c r="B173" s="820">
        <v>75623</v>
      </c>
      <c r="C173" s="746" t="s">
        <v>1042</v>
      </c>
      <c r="D173" s="753"/>
      <c r="E173" s="736">
        <f>SUM(E174,E177)</f>
        <v>198021403</v>
      </c>
    </row>
    <row r="174" spans="1:5">
      <c r="A174" s="1132"/>
      <c r="B174" s="1179" t="s">
        <v>971</v>
      </c>
      <c r="C174" s="1173"/>
      <c r="D174" s="903"/>
      <c r="E174" s="738">
        <f>SUM(E175:E176)</f>
        <v>198021403</v>
      </c>
    </row>
    <row r="175" spans="1:5">
      <c r="A175" s="1132"/>
      <c r="B175" s="1175"/>
      <c r="C175" s="877" t="s">
        <v>1043</v>
      </c>
      <c r="D175" s="772" t="s">
        <v>1044</v>
      </c>
      <c r="E175" s="740">
        <v>52476443</v>
      </c>
    </row>
    <row r="176" spans="1:5">
      <c r="A176" s="1132"/>
      <c r="B176" s="1203"/>
      <c r="C176" s="877" t="s">
        <v>1045</v>
      </c>
      <c r="D176" s="772" t="s">
        <v>1046</v>
      </c>
      <c r="E176" s="740">
        <v>145544960</v>
      </c>
    </row>
    <row r="177" spans="1:5" ht="15.75" thickBot="1">
      <c r="A177" s="1132"/>
      <c r="B177" s="1204" t="s">
        <v>975</v>
      </c>
      <c r="C177" s="1205"/>
      <c r="D177" s="799"/>
      <c r="E177" s="854">
        <v>0</v>
      </c>
    </row>
    <row r="178" spans="1:5" ht="15.75" thickBot="1">
      <c r="A178" s="907">
        <v>758</v>
      </c>
      <c r="B178" s="908"/>
      <c r="C178" s="909" t="s">
        <v>1047</v>
      </c>
      <c r="D178" s="910"/>
      <c r="E178" s="732">
        <f>SUM(E179,E183,E187,E191,E195,E199,E203,E212)</f>
        <v>774998956</v>
      </c>
    </row>
    <row r="179" spans="1:5" s="848" customFormat="1" ht="26.25" thickBot="1">
      <c r="A179" s="1221"/>
      <c r="B179" s="911">
        <v>75801</v>
      </c>
      <c r="C179" s="912" t="s">
        <v>1048</v>
      </c>
      <c r="D179" s="913"/>
      <c r="E179" s="736">
        <f>SUM(E180,E182)</f>
        <v>37673633</v>
      </c>
    </row>
    <row r="180" spans="1:5" ht="16.5" customHeight="1">
      <c r="A180" s="1222"/>
      <c r="B180" s="1223" t="s">
        <v>971</v>
      </c>
      <c r="C180" s="1223"/>
      <c r="D180" s="914"/>
      <c r="E180" s="738">
        <f>SUM(E181)</f>
        <v>37673633</v>
      </c>
    </row>
    <row r="181" spans="1:5" ht="18" customHeight="1">
      <c r="A181" s="1222"/>
      <c r="B181" s="915"/>
      <c r="C181" s="916" t="s">
        <v>1049</v>
      </c>
      <c r="D181" s="917">
        <v>2920</v>
      </c>
      <c r="E181" s="740">
        <v>37673633</v>
      </c>
    </row>
    <row r="182" spans="1:5" ht="15.75" thickBot="1">
      <c r="A182" s="1222"/>
      <c r="B182" s="1211" t="s">
        <v>975</v>
      </c>
      <c r="C182" s="1211"/>
      <c r="D182" s="918"/>
      <c r="E182" s="751">
        <v>0</v>
      </c>
    </row>
    <row r="183" spans="1:5" ht="26.25" thickBot="1">
      <c r="A183" s="1222"/>
      <c r="B183" s="911">
        <v>75802</v>
      </c>
      <c r="C183" s="912" t="s">
        <v>1050</v>
      </c>
      <c r="D183" s="913"/>
      <c r="E183" s="736">
        <f>SUM(E184,E185)</f>
        <v>2500000</v>
      </c>
    </row>
    <row r="184" spans="1:5">
      <c r="A184" s="1222"/>
      <c r="B184" s="1223" t="s">
        <v>1051</v>
      </c>
      <c r="C184" s="1223"/>
      <c r="D184" s="914"/>
      <c r="E184" s="738">
        <v>0</v>
      </c>
    </row>
    <row r="185" spans="1:5">
      <c r="A185" s="1222"/>
      <c r="B185" s="1211" t="s">
        <v>980</v>
      </c>
      <c r="C185" s="1211"/>
      <c r="D185" s="918"/>
      <c r="E185" s="761">
        <f>SUM(E186)</f>
        <v>2500000</v>
      </c>
    </row>
    <row r="186" spans="1:5" ht="40.5" customHeight="1" thickBot="1">
      <c r="A186" s="1222"/>
      <c r="B186" s="915"/>
      <c r="C186" s="916" t="s">
        <v>1052</v>
      </c>
      <c r="D186" s="917">
        <v>6180</v>
      </c>
      <c r="E186" s="813">
        <v>2500000</v>
      </c>
    </row>
    <row r="187" spans="1:5" ht="15.75" thickBot="1">
      <c r="A187" s="1222"/>
      <c r="B187" s="911">
        <v>75804</v>
      </c>
      <c r="C187" s="912" t="s">
        <v>1053</v>
      </c>
      <c r="D187" s="913"/>
      <c r="E187" s="829">
        <f>SUM(E188,E190)</f>
        <v>133041652</v>
      </c>
    </row>
    <row r="188" spans="1:5">
      <c r="A188" s="1222"/>
      <c r="B188" s="1223" t="s">
        <v>971</v>
      </c>
      <c r="C188" s="1223"/>
      <c r="D188" s="914"/>
      <c r="E188" s="738">
        <f>SUM(E189)</f>
        <v>133041652</v>
      </c>
    </row>
    <row r="189" spans="1:5" ht="18.75" customHeight="1">
      <c r="A189" s="1222"/>
      <c r="B189" s="915"/>
      <c r="C189" s="916" t="s">
        <v>1049</v>
      </c>
      <c r="D189" s="917">
        <v>2920</v>
      </c>
      <c r="E189" s="740">
        <v>133041652</v>
      </c>
    </row>
    <row r="190" spans="1:5" ht="17.25" customHeight="1" thickBot="1">
      <c r="A190" s="1222"/>
      <c r="B190" s="1211" t="s">
        <v>975</v>
      </c>
      <c r="C190" s="1211"/>
      <c r="D190" s="918"/>
      <c r="E190" s="751">
        <v>0</v>
      </c>
    </row>
    <row r="191" spans="1:5" ht="15.75" thickBot="1">
      <c r="A191" s="1222"/>
      <c r="B191" s="911">
        <v>75814</v>
      </c>
      <c r="C191" s="912" t="s">
        <v>1054</v>
      </c>
      <c r="D191" s="913"/>
      <c r="E191" s="736">
        <f>SUM(E192,E194)</f>
        <v>2500000</v>
      </c>
    </row>
    <row r="192" spans="1:5">
      <c r="A192" s="1222"/>
      <c r="B192" s="1223" t="s">
        <v>971</v>
      </c>
      <c r="C192" s="1223"/>
      <c r="D192" s="914"/>
      <c r="E192" s="738">
        <f>SUM(E193)</f>
        <v>2500000</v>
      </c>
    </row>
    <row r="193" spans="1:5" ht="16.5" customHeight="1">
      <c r="A193" s="1222"/>
      <c r="B193" s="915"/>
      <c r="C193" s="916" t="s">
        <v>1055</v>
      </c>
      <c r="D193" s="919" t="s">
        <v>1056</v>
      </c>
      <c r="E193" s="740">
        <v>2500000</v>
      </c>
    </row>
    <row r="194" spans="1:5" ht="15.75" thickBot="1">
      <c r="A194" s="1222"/>
      <c r="B194" s="1211" t="s">
        <v>975</v>
      </c>
      <c r="C194" s="1211"/>
      <c r="D194" s="918"/>
      <c r="E194" s="751">
        <v>0</v>
      </c>
    </row>
    <row r="195" spans="1:5" ht="15.75" thickBot="1">
      <c r="A195" s="1222"/>
      <c r="B195" s="911">
        <v>75833</v>
      </c>
      <c r="C195" s="912" t="s">
        <v>1057</v>
      </c>
      <c r="D195" s="913"/>
      <c r="E195" s="736">
        <f>SUM(E196,E198)</f>
        <v>54136136</v>
      </c>
    </row>
    <row r="196" spans="1:5">
      <c r="A196" s="1222"/>
      <c r="B196" s="1223" t="s">
        <v>971</v>
      </c>
      <c r="C196" s="1212"/>
      <c r="D196" s="920"/>
      <c r="E196" s="738">
        <f>SUM(E197)</f>
        <v>54136136</v>
      </c>
    </row>
    <row r="197" spans="1:5" ht="20.25" customHeight="1">
      <c r="A197" s="1222"/>
      <c r="B197" s="915"/>
      <c r="C197" s="921" t="s">
        <v>1049</v>
      </c>
      <c r="D197" s="919" t="s">
        <v>1058</v>
      </c>
      <c r="E197" s="740">
        <v>54136136</v>
      </c>
    </row>
    <row r="198" spans="1:5" ht="15.75" thickBot="1">
      <c r="A198" s="1222"/>
      <c r="B198" s="1211" t="s">
        <v>975</v>
      </c>
      <c r="C198" s="1212"/>
      <c r="D198" s="920"/>
      <c r="E198" s="751">
        <v>0</v>
      </c>
    </row>
    <row r="199" spans="1:5" ht="15.75" thickBot="1">
      <c r="A199" s="1222"/>
      <c r="B199" s="922">
        <v>75861</v>
      </c>
      <c r="C199" s="912" t="s">
        <v>1059</v>
      </c>
      <c r="D199" s="913"/>
      <c r="E199" s="736">
        <f>SUM(E200,E201)</f>
        <v>12271</v>
      </c>
    </row>
    <row r="200" spans="1:5">
      <c r="A200" s="1222"/>
      <c r="B200" s="1213" t="s">
        <v>971</v>
      </c>
      <c r="C200" s="1214"/>
      <c r="D200" s="923"/>
      <c r="E200" s="738">
        <v>0</v>
      </c>
    </row>
    <row r="201" spans="1:5">
      <c r="A201" s="1222"/>
      <c r="B201" s="1215" t="s">
        <v>980</v>
      </c>
      <c r="C201" s="1216"/>
      <c r="D201" s="924"/>
      <c r="E201" s="761">
        <f>SUM(E202)</f>
        <v>12271</v>
      </c>
    </row>
    <row r="202" spans="1:5" ht="44.25" customHeight="1" thickBot="1">
      <c r="A202" s="1222"/>
      <c r="B202" s="925"/>
      <c r="C202" s="926" t="s">
        <v>1060</v>
      </c>
      <c r="D202" s="927">
        <v>6209</v>
      </c>
      <c r="E202" s="779">
        <v>12271</v>
      </c>
    </row>
    <row r="203" spans="1:5" ht="39" thickBot="1">
      <c r="A203" s="1222"/>
      <c r="B203" s="928">
        <v>75863</v>
      </c>
      <c r="C203" s="912" t="s">
        <v>1061</v>
      </c>
      <c r="D203" s="929"/>
      <c r="E203" s="829">
        <f>SUM(E204,E207)</f>
        <v>461125992</v>
      </c>
    </row>
    <row r="204" spans="1:5">
      <c r="A204" s="1222"/>
      <c r="B204" s="1216" t="s">
        <v>971</v>
      </c>
      <c r="C204" s="1216"/>
      <c r="D204" s="924"/>
      <c r="E204" s="843">
        <f>SUM(E205:E206)</f>
        <v>18801038</v>
      </c>
    </row>
    <row r="205" spans="1:5" s="848" customFormat="1" ht="25.5" customHeight="1">
      <c r="A205" s="1222"/>
      <c r="B205" s="1217"/>
      <c r="C205" s="1219" t="s">
        <v>1062</v>
      </c>
      <c r="D205" s="930">
        <v>2007</v>
      </c>
      <c r="E205" s="807">
        <v>12907303</v>
      </c>
    </row>
    <row r="206" spans="1:5" ht="27.75" customHeight="1">
      <c r="A206" s="1222"/>
      <c r="B206" s="1218"/>
      <c r="C206" s="1220"/>
      <c r="D206" s="931">
        <v>2057</v>
      </c>
      <c r="E206" s="740">
        <v>5893735</v>
      </c>
    </row>
    <row r="207" spans="1:5">
      <c r="A207" s="1222"/>
      <c r="B207" s="1224" t="s">
        <v>980</v>
      </c>
      <c r="C207" s="1225"/>
      <c r="D207" s="932"/>
      <c r="E207" s="761">
        <f>SUM(E208:E211)</f>
        <v>442324954</v>
      </c>
    </row>
    <row r="208" spans="1:5" s="848" customFormat="1" ht="39.75" customHeight="1">
      <c r="A208" s="1222"/>
      <c r="B208" s="933"/>
      <c r="C208" s="934" t="s">
        <v>1062</v>
      </c>
      <c r="D208" s="931">
        <v>6207</v>
      </c>
      <c r="E208" s="757">
        <v>82159804</v>
      </c>
    </row>
    <row r="209" spans="1:5" ht="39" customHeight="1">
      <c r="A209" s="1222"/>
      <c r="B209" s="925"/>
      <c r="C209" s="934" t="s">
        <v>1063</v>
      </c>
      <c r="D209" s="931">
        <v>6209</v>
      </c>
      <c r="E209" s="740">
        <v>9500000</v>
      </c>
    </row>
    <row r="210" spans="1:5" ht="39" customHeight="1">
      <c r="A210" s="1222"/>
      <c r="B210" s="925"/>
      <c r="C210" s="935" t="s">
        <v>1062</v>
      </c>
      <c r="D210" s="1226">
        <v>6257</v>
      </c>
      <c r="E210" s="740">
        <v>339125569</v>
      </c>
    </row>
    <row r="211" spans="1:5" ht="66.75" customHeight="1" thickBot="1">
      <c r="A211" s="1222"/>
      <c r="B211" s="936"/>
      <c r="C211" s="937" t="s">
        <v>1064</v>
      </c>
      <c r="D211" s="1227"/>
      <c r="E211" s="779">
        <v>11539581</v>
      </c>
    </row>
    <row r="212" spans="1:5" ht="29.25" customHeight="1" thickBot="1">
      <c r="A212" s="1222"/>
      <c r="B212" s="928">
        <v>75864</v>
      </c>
      <c r="C212" s="912" t="s">
        <v>1065</v>
      </c>
      <c r="D212" s="929"/>
      <c r="E212" s="829">
        <f>SUM(E213,E219)</f>
        <v>84009272</v>
      </c>
    </row>
    <row r="213" spans="1:5">
      <c r="A213" s="1222"/>
      <c r="B213" s="1216" t="s">
        <v>971</v>
      </c>
      <c r="C213" s="1215"/>
      <c r="D213" s="938"/>
      <c r="E213" s="738">
        <f>SUM(E214:E218)</f>
        <v>82540523</v>
      </c>
    </row>
    <row r="214" spans="1:5" s="848" customFormat="1" ht="42.75" customHeight="1">
      <c r="A214" s="1222"/>
      <c r="B214" s="1217"/>
      <c r="C214" s="939" t="s">
        <v>1062</v>
      </c>
      <c r="D214" s="940">
        <v>2007</v>
      </c>
      <c r="E214" s="740">
        <v>811761</v>
      </c>
    </row>
    <row r="215" spans="1:5" s="848" customFormat="1" ht="42.75" customHeight="1">
      <c r="A215" s="1222"/>
      <c r="B215" s="1228"/>
      <c r="C215" s="941" t="s">
        <v>1063</v>
      </c>
      <c r="D215" s="931">
        <v>2009</v>
      </c>
      <c r="E215" s="757">
        <v>35668343</v>
      </c>
    </row>
    <row r="216" spans="1:5" s="848" customFormat="1" ht="42.75" customHeight="1">
      <c r="A216" s="1222"/>
      <c r="B216" s="1228"/>
      <c r="C216" s="942" t="s">
        <v>1062</v>
      </c>
      <c r="D216" s="930">
        <v>2057</v>
      </c>
      <c r="E216" s="740">
        <v>4010048</v>
      </c>
    </row>
    <row r="217" spans="1:5" ht="42" customHeight="1">
      <c r="A217" s="1222"/>
      <c r="B217" s="1228"/>
      <c r="C217" s="943" t="s">
        <v>1066</v>
      </c>
      <c r="D217" s="944">
        <v>2058</v>
      </c>
      <c r="E217" s="757">
        <v>41791417</v>
      </c>
    </row>
    <row r="218" spans="1:5" ht="42" customHeight="1">
      <c r="A218" s="1222"/>
      <c r="B218" s="1228"/>
      <c r="C218" s="943" t="s">
        <v>1067</v>
      </c>
      <c r="D218" s="945">
        <v>2059</v>
      </c>
      <c r="E218" s="740">
        <v>258954</v>
      </c>
    </row>
    <row r="219" spans="1:5">
      <c r="A219" s="1222"/>
      <c r="B219" s="1224" t="s">
        <v>980</v>
      </c>
      <c r="C219" s="1225"/>
      <c r="D219" s="946"/>
      <c r="E219" s="751">
        <f>SUM(E220:E223)</f>
        <v>1468749</v>
      </c>
    </row>
    <row r="220" spans="1:5" s="848" customFormat="1" ht="42" customHeight="1">
      <c r="A220" s="1222"/>
      <c r="B220" s="933"/>
      <c r="C220" s="934" t="s">
        <v>1068</v>
      </c>
      <c r="D220" s="930">
        <v>6209</v>
      </c>
      <c r="E220" s="740">
        <v>163000</v>
      </c>
    </row>
    <row r="221" spans="1:5" s="848" customFormat="1" ht="42" customHeight="1">
      <c r="A221" s="1222"/>
      <c r="B221" s="947"/>
      <c r="C221" s="948" t="s">
        <v>1062</v>
      </c>
      <c r="D221" s="940">
        <v>6257</v>
      </c>
      <c r="E221" s="757">
        <v>232946</v>
      </c>
    </row>
    <row r="222" spans="1:5" s="848" customFormat="1" ht="42" customHeight="1">
      <c r="A222" s="1222"/>
      <c r="B222" s="947"/>
      <c r="C222" s="949" t="s">
        <v>1069</v>
      </c>
      <c r="D222" s="940">
        <v>6258</v>
      </c>
      <c r="E222" s="740">
        <v>1059100</v>
      </c>
    </row>
    <row r="223" spans="1:5" ht="42" customHeight="1" thickBot="1">
      <c r="A223" s="1222"/>
      <c r="B223" s="936"/>
      <c r="C223" s="950" t="s">
        <v>1070</v>
      </c>
      <c r="D223" s="951">
        <v>6259</v>
      </c>
      <c r="E223" s="757">
        <v>13703</v>
      </c>
    </row>
    <row r="224" spans="1:5" s="954" customFormat="1" ht="16.5" customHeight="1" thickBot="1">
      <c r="A224" s="907">
        <v>801</v>
      </c>
      <c r="B224" s="952"/>
      <c r="C224" s="909" t="s">
        <v>1071</v>
      </c>
      <c r="D224" s="953"/>
      <c r="E224" s="732">
        <f>SUM(E225,E229,E233,E238)</f>
        <v>154787</v>
      </c>
    </row>
    <row r="225" spans="1:5" s="958" customFormat="1" ht="15.75" thickBot="1">
      <c r="A225" s="1242"/>
      <c r="B225" s="955">
        <v>80102</v>
      </c>
      <c r="C225" s="956" t="s">
        <v>821</v>
      </c>
      <c r="D225" s="957"/>
      <c r="E225" s="736">
        <f>SUM(E226,E228)</f>
        <v>2500</v>
      </c>
    </row>
    <row r="226" spans="1:5">
      <c r="A226" s="1230"/>
      <c r="B226" s="1215" t="s">
        <v>971</v>
      </c>
      <c r="C226" s="1215"/>
      <c r="D226" s="938"/>
      <c r="E226" s="738">
        <f>SUM(E227)</f>
        <v>2500</v>
      </c>
    </row>
    <row r="227" spans="1:5" ht="42" customHeight="1">
      <c r="A227" s="1230"/>
      <c r="B227" s="959"/>
      <c r="C227" s="771" t="s">
        <v>1072</v>
      </c>
      <c r="D227" s="818" t="s">
        <v>974</v>
      </c>
      <c r="E227" s="740">
        <v>2500</v>
      </c>
    </row>
    <row r="228" spans="1:5" ht="15.75" thickBot="1">
      <c r="A228" s="1230"/>
      <c r="B228" s="1229" t="s">
        <v>975</v>
      </c>
      <c r="C228" s="1229"/>
      <c r="D228" s="960"/>
      <c r="E228" s="751">
        <v>0</v>
      </c>
    </row>
    <row r="229" spans="1:5" s="958" customFormat="1" ht="15.75" thickBot="1">
      <c r="A229" s="1230"/>
      <c r="B229" s="955">
        <v>80130</v>
      </c>
      <c r="C229" s="956" t="s">
        <v>819</v>
      </c>
      <c r="D229" s="957"/>
      <c r="E229" s="736">
        <f>SUM(E230,E232)</f>
        <v>7590</v>
      </c>
    </row>
    <row r="230" spans="1:5">
      <c r="A230" s="1230"/>
      <c r="B230" s="1215" t="s">
        <v>971</v>
      </c>
      <c r="C230" s="1215"/>
      <c r="D230" s="938"/>
      <c r="E230" s="738">
        <f>SUM(E231)</f>
        <v>7590</v>
      </c>
    </row>
    <row r="231" spans="1:5" ht="54" customHeight="1">
      <c r="A231" s="1230"/>
      <c r="B231" s="925"/>
      <c r="C231" s="825" t="s">
        <v>1073</v>
      </c>
      <c r="D231" s="818" t="s">
        <v>974</v>
      </c>
      <c r="E231" s="740">
        <v>7590</v>
      </c>
    </row>
    <row r="232" spans="1:5" ht="15.75" thickBot="1">
      <c r="A232" s="1230"/>
      <c r="B232" s="1225" t="s">
        <v>975</v>
      </c>
      <c r="C232" s="1225"/>
      <c r="D232" s="961"/>
      <c r="E232" s="751">
        <v>0</v>
      </c>
    </row>
    <row r="233" spans="1:5" s="958" customFormat="1" ht="15.75" thickBot="1">
      <c r="A233" s="1230"/>
      <c r="B233" s="955">
        <v>80147</v>
      </c>
      <c r="C233" s="956" t="s">
        <v>839</v>
      </c>
      <c r="D233" s="957"/>
      <c r="E233" s="736">
        <f>SUM(E234,E237)</f>
        <v>32970</v>
      </c>
    </row>
    <row r="234" spans="1:5" ht="21" customHeight="1">
      <c r="A234" s="1230"/>
      <c r="B234" s="1215" t="s">
        <v>971</v>
      </c>
      <c r="C234" s="1216"/>
      <c r="D234" s="924"/>
      <c r="E234" s="738">
        <f>SUM(E235:E236)</f>
        <v>32970</v>
      </c>
    </row>
    <row r="235" spans="1:5" ht="18.75" customHeight="1">
      <c r="A235" s="1230"/>
      <c r="B235" s="1228"/>
      <c r="C235" s="1180" t="s">
        <v>1074</v>
      </c>
      <c r="D235" s="818" t="s">
        <v>973</v>
      </c>
      <c r="E235" s="813">
        <v>5000</v>
      </c>
    </row>
    <row r="236" spans="1:5" ht="17.25" customHeight="1">
      <c r="A236" s="1230"/>
      <c r="B236" s="1228"/>
      <c r="C236" s="1243"/>
      <c r="D236" s="818" t="s">
        <v>974</v>
      </c>
      <c r="E236" s="740">
        <v>27970</v>
      </c>
    </row>
    <row r="237" spans="1:5" ht="15.75" thickBot="1">
      <c r="A237" s="1230"/>
      <c r="B237" s="1233" t="s">
        <v>975</v>
      </c>
      <c r="C237" s="1235"/>
      <c r="D237" s="962"/>
      <c r="E237" s="751">
        <v>0</v>
      </c>
    </row>
    <row r="238" spans="1:5" s="958" customFormat="1" ht="15.75" thickBot="1">
      <c r="A238" s="1230"/>
      <c r="B238" s="955">
        <v>80195</v>
      </c>
      <c r="C238" s="956" t="s">
        <v>238</v>
      </c>
      <c r="D238" s="957"/>
      <c r="E238" s="736">
        <f>SUM(E239,E242)</f>
        <v>111727</v>
      </c>
    </row>
    <row r="239" spans="1:5">
      <c r="A239" s="1230"/>
      <c r="B239" s="1231" t="s">
        <v>971</v>
      </c>
      <c r="C239" s="1239"/>
      <c r="D239" s="963"/>
      <c r="E239" s="754">
        <f>SUM(E240:E241)</f>
        <v>111727</v>
      </c>
    </row>
    <row r="240" spans="1:5" s="848" customFormat="1" ht="20.25" customHeight="1">
      <c r="A240" s="1230"/>
      <c r="B240" s="1228"/>
      <c r="C240" s="1244" t="s">
        <v>1075</v>
      </c>
      <c r="D240" s="964" t="s">
        <v>553</v>
      </c>
      <c r="E240" s="757">
        <v>29409</v>
      </c>
    </row>
    <row r="241" spans="1:5" s="848" customFormat="1" ht="25.5" customHeight="1">
      <c r="A241" s="1230"/>
      <c r="B241" s="1228"/>
      <c r="C241" s="1220"/>
      <c r="D241" s="964" t="s">
        <v>1076</v>
      </c>
      <c r="E241" s="740">
        <v>82318</v>
      </c>
    </row>
    <row r="242" spans="1:5" ht="15.75" thickBot="1">
      <c r="A242" s="1230"/>
      <c r="B242" s="1233" t="s">
        <v>980</v>
      </c>
      <c r="C242" s="1235"/>
      <c r="D242" s="962"/>
      <c r="E242" s="744">
        <v>0</v>
      </c>
    </row>
    <row r="243" spans="1:5" s="954" customFormat="1" ht="14.25" customHeight="1" thickBot="1">
      <c r="A243" s="907">
        <v>851</v>
      </c>
      <c r="B243" s="952"/>
      <c r="C243" s="909" t="s">
        <v>1077</v>
      </c>
      <c r="D243" s="953"/>
      <c r="E243" s="792">
        <f>SUM(E244,E257,E261)</f>
        <v>176000</v>
      </c>
    </row>
    <row r="244" spans="1:5" s="954" customFormat="1" ht="23.25" customHeight="1" thickBot="1">
      <c r="A244" s="1230"/>
      <c r="B244" s="928">
        <v>85141</v>
      </c>
      <c r="C244" s="912" t="s">
        <v>256</v>
      </c>
      <c r="D244" s="929"/>
      <c r="E244" s="736">
        <f>SUM(E245,E246)</f>
        <v>117000</v>
      </c>
    </row>
    <row r="245" spans="1:5" s="954" customFormat="1">
      <c r="A245" s="1230"/>
      <c r="B245" s="1236" t="s">
        <v>1051</v>
      </c>
      <c r="C245" s="1237"/>
      <c r="D245" s="924"/>
      <c r="E245" s="738">
        <v>0</v>
      </c>
    </row>
    <row r="246" spans="1:5" s="954" customFormat="1">
      <c r="A246" s="1230"/>
      <c r="B246" s="1224" t="s">
        <v>980</v>
      </c>
      <c r="C246" s="1238"/>
      <c r="D246" s="965"/>
      <c r="E246" s="761">
        <f>SUM(E247)</f>
        <v>117000</v>
      </c>
    </row>
    <row r="247" spans="1:5" s="848" customFormat="1" ht="39.75" customHeight="1" thickBot="1">
      <c r="A247" s="966"/>
      <c r="B247" s="967"/>
      <c r="C247" s="862" t="s">
        <v>1022</v>
      </c>
      <c r="D247" s="863">
        <v>6510</v>
      </c>
      <c r="E247" s="757">
        <v>117000</v>
      </c>
    </row>
    <row r="248" spans="1:5" s="848" customFormat="1" ht="0.75" hidden="1" customHeight="1" thickBot="1">
      <c r="A248" s="966"/>
      <c r="B248" s="928">
        <v>85120</v>
      </c>
      <c r="C248" s="912" t="s">
        <v>863</v>
      </c>
      <c r="D248" s="929"/>
      <c r="E248" s="968">
        <v>0</v>
      </c>
    </row>
    <row r="249" spans="1:5" s="848" customFormat="1" ht="27" hidden="1" customHeight="1" thickBot="1">
      <c r="A249" s="966"/>
      <c r="B249" s="1239" t="s">
        <v>1051</v>
      </c>
      <c r="C249" s="1232"/>
      <c r="D249" s="924"/>
      <c r="E249" s="968">
        <v>0</v>
      </c>
    </row>
    <row r="250" spans="1:5" s="848" customFormat="1" ht="29.25" hidden="1" customHeight="1" thickBot="1">
      <c r="A250" s="966"/>
      <c r="B250" s="1240" t="s">
        <v>980</v>
      </c>
      <c r="C250" s="1241"/>
      <c r="D250" s="965"/>
      <c r="E250" s="968">
        <v>0</v>
      </c>
    </row>
    <row r="251" spans="1:5" s="848" customFormat="1" ht="27" hidden="1" customHeight="1" thickBot="1">
      <c r="A251" s="966"/>
      <c r="B251" s="969"/>
      <c r="C251" s="970" t="s">
        <v>1078</v>
      </c>
      <c r="D251" s="940">
        <v>6660</v>
      </c>
      <c r="E251" s="968">
        <v>0</v>
      </c>
    </row>
    <row r="252" spans="1:5" s="848" customFormat="1" ht="21" hidden="1" customHeight="1" thickBot="1">
      <c r="A252" s="966"/>
      <c r="B252" s="971">
        <v>85154</v>
      </c>
      <c r="C252" s="912" t="s">
        <v>871</v>
      </c>
      <c r="D252" s="929"/>
      <c r="E252" s="968">
        <v>0</v>
      </c>
    </row>
    <row r="253" spans="1:5" s="848" customFormat="1" ht="23.25" hidden="1" customHeight="1" thickBot="1">
      <c r="A253" s="966"/>
      <c r="B253" s="1239" t="s">
        <v>971</v>
      </c>
      <c r="C253" s="1232"/>
      <c r="D253" s="938"/>
      <c r="E253" s="968">
        <v>0</v>
      </c>
    </row>
    <row r="254" spans="1:5" s="848" customFormat="1" ht="29.25" hidden="1" customHeight="1" thickBot="1">
      <c r="A254" s="966"/>
      <c r="B254" s="1248"/>
      <c r="C254" s="972" t="s">
        <v>1079</v>
      </c>
      <c r="D254" s="973" t="s">
        <v>1080</v>
      </c>
      <c r="E254" s="968">
        <v>0</v>
      </c>
    </row>
    <row r="255" spans="1:5" s="848" customFormat="1" ht="23.25" hidden="1" customHeight="1" thickBot="1">
      <c r="A255" s="966"/>
      <c r="B255" s="1249"/>
      <c r="C255" s="974" t="s">
        <v>1081</v>
      </c>
      <c r="D255" s="975">
        <v>2910</v>
      </c>
      <c r="E255" s="968">
        <v>0</v>
      </c>
    </row>
    <row r="256" spans="1:5" s="848" customFormat="1" ht="21.75" hidden="1" customHeight="1" thickBot="1">
      <c r="A256" s="966"/>
      <c r="B256" s="1229" t="s">
        <v>975</v>
      </c>
      <c r="C256" s="1241"/>
      <c r="D256" s="960"/>
      <c r="E256" s="968">
        <v>0</v>
      </c>
    </row>
    <row r="257" spans="1:5" s="958" customFormat="1" ht="26.25" thickBot="1">
      <c r="A257" s="1230"/>
      <c r="B257" s="971">
        <v>85156</v>
      </c>
      <c r="C257" s="912" t="s">
        <v>280</v>
      </c>
      <c r="D257" s="929"/>
      <c r="E257" s="736">
        <f>SUM(E258,E260)</f>
        <v>24000</v>
      </c>
    </row>
    <row r="258" spans="1:5" ht="12.75" customHeight="1">
      <c r="A258" s="1230"/>
      <c r="B258" s="1231" t="s">
        <v>971</v>
      </c>
      <c r="C258" s="1232"/>
      <c r="D258" s="963"/>
      <c r="E258" s="738">
        <f>SUM(E259)</f>
        <v>24000</v>
      </c>
    </row>
    <row r="259" spans="1:5" ht="46.5" customHeight="1">
      <c r="A259" s="1230"/>
      <c r="B259" s="976"/>
      <c r="C259" s="977" t="s">
        <v>978</v>
      </c>
      <c r="D259" s="978">
        <v>2210</v>
      </c>
      <c r="E259" s="740">
        <v>24000</v>
      </c>
    </row>
    <row r="260" spans="1:5" ht="15.75" thickBot="1">
      <c r="A260" s="1230"/>
      <c r="B260" s="1233" t="s">
        <v>975</v>
      </c>
      <c r="C260" s="1234"/>
      <c r="D260" s="979"/>
      <c r="E260" s="751">
        <v>0</v>
      </c>
    </row>
    <row r="261" spans="1:5" s="958" customFormat="1" ht="15.75" thickBot="1">
      <c r="A261" s="966"/>
      <c r="B261" s="928">
        <v>85195</v>
      </c>
      <c r="C261" s="912" t="s">
        <v>238</v>
      </c>
      <c r="D261" s="929"/>
      <c r="E261" s="736">
        <f>SUM(E262,E264)</f>
        <v>35000</v>
      </c>
    </row>
    <row r="262" spans="1:5" ht="12.75" customHeight="1">
      <c r="A262" s="966"/>
      <c r="B262" s="1215" t="s">
        <v>971</v>
      </c>
      <c r="C262" s="1245"/>
      <c r="D262" s="938"/>
      <c r="E262" s="738">
        <f>SUM(E263)</f>
        <v>35000</v>
      </c>
    </row>
    <row r="263" spans="1:5" ht="45" customHeight="1">
      <c r="A263" s="966"/>
      <c r="B263" s="980"/>
      <c r="C263" s="981" t="s">
        <v>978</v>
      </c>
      <c r="D263" s="978">
        <v>2210</v>
      </c>
      <c r="E263" s="740">
        <v>35000</v>
      </c>
    </row>
    <row r="264" spans="1:5" ht="15.75" thickBot="1">
      <c r="A264" s="966"/>
      <c r="B264" s="1229" t="s">
        <v>975</v>
      </c>
      <c r="C264" s="1241"/>
      <c r="D264" s="960"/>
      <c r="E264" s="751">
        <v>0</v>
      </c>
    </row>
    <row r="265" spans="1:5" s="954" customFormat="1" ht="15.75" thickBot="1">
      <c r="A265" s="907">
        <v>852</v>
      </c>
      <c r="B265" s="952"/>
      <c r="C265" s="909" t="s">
        <v>1082</v>
      </c>
      <c r="D265" s="953"/>
      <c r="E265" s="732">
        <f>SUM(E266,E270)</f>
        <v>30000</v>
      </c>
    </row>
    <row r="266" spans="1:5" s="954" customFormat="1" ht="15.75" thickBot="1">
      <c r="A266" s="982"/>
      <c r="B266" s="928">
        <v>85205</v>
      </c>
      <c r="C266" s="912" t="s">
        <v>875</v>
      </c>
      <c r="D266" s="929"/>
      <c r="E266" s="736">
        <f>SUM(E269,E267)</f>
        <v>30000</v>
      </c>
    </row>
    <row r="267" spans="1:5" s="954" customFormat="1">
      <c r="A267" s="966"/>
      <c r="B267" s="1216" t="s">
        <v>971</v>
      </c>
      <c r="C267" s="1246"/>
      <c r="D267" s="924"/>
      <c r="E267" s="738">
        <f>SUM(E268)</f>
        <v>30000</v>
      </c>
    </row>
    <row r="268" spans="1:5" s="954" customFormat="1" ht="25.5">
      <c r="A268" s="966"/>
      <c r="B268" s="983"/>
      <c r="C268" s="943" t="s">
        <v>1083</v>
      </c>
      <c r="D268" s="940">
        <v>2230</v>
      </c>
      <c r="E268" s="740">
        <v>30000</v>
      </c>
    </row>
    <row r="269" spans="1:5" s="954" customFormat="1" ht="15" customHeight="1">
      <c r="A269" s="966"/>
      <c r="B269" s="1229" t="s">
        <v>975</v>
      </c>
      <c r="C269" s="1241"/>
      <c r="D269" s="960"/>
      <c r="E269" s="751">
        <v>0</v>
      </c>
    </row>
    <row r="270" spans="1:5" s="958" customFormat="1" ht="39" hidden="1" thickBot="1">
      <c r="A270" s="982"/>
      <c r="B270" s="971">
        <v>85212</v>
      </c>
      <c r="C270" s="912" t="s">
        <v>267</v>
      </c>
      <c r="D270" s="929"/>
      <c r="E270" s="736">
        <f>SUM(E271,E273)</f>
        <v>0</v>
      </c>
    </row>
    <row r="271" spans="1:5" ht="15.75" hidden="1" thickBot="1">
      <c r="A271" s="982"/>
      <c r="B271" s="1247" t="s">
        <v>971</v>
      </c>
      <c r="C271" s="1215"/>
      <c r="D271" s="938"/>
      <c r="E271" s="738">
        <f>SUM(E272)</f>
        <v>0</v>
      </c>
    </row>
    <row r="272" spans="1:5" ht="0.75" customHeight="1" thickBot="1">
      <c r="A272" s="982"/>
      <c r="B272" s="959"/>
      <c r="C272" s="934" t="s">
        <v>1084</v>
      </c>
      <c r="D272" s="984" t="s">
        <v>974</v>
      </c>
      <c r="E272" s="740"/>
    </row>
    <row r="273" spans="1:5" ht="36.75" hidden="1" customHeight="1" thickBot="1">
      <c r="A273" s="982"/>
      <c r="B273" s="1233" t="s">
        <v>975</v>
      </c>
      <c r="C273" s="1235"/>
      <c r="D273" s="979"/>
      <c r="E273" s="854">
        <v>0</v>
      </c>
    </row>
    <row r="274" spans="1:5" s="954" customFormat="1" ht="15.75" thickBot="1">
      <c r="A274" s="907">
        <v>853</v>
      </c>
      <c r="B274" s="952"/>
      <c r="C274" s="909" t="s">
        <v>260</v>
      </c>
      <c r="D274" s="953"/>
      <c r="E274" s="792">
        <f>SUM(E275,E279)</f>
        <v>6136556</v>
      </c>
    </row>
    <row r="275" spans="1:5" ht="15.75" thickBot="1">
      <c r="A275" s="982"/>
      <c r="B275" s="928">
        <v>85324</v>
      </c>
      <c r="C275" s="929" t="s">
        <v>1085</v>
      </c>
      <c r="D275" s="957"/>
      <c r="E275" s="736">
        <v>258000</v>
      </c>
    </row>
    <row r="276" spans="1:5">
      <c r="A276" s="982"/>
      <c r="B276" s="1215" t="s">
        <v>971</v>
      </c>
      <c r="C276" s="1215"/>
      <c r="D276" s="938"/>
      <c r="E276" s="738">
        <v>258000</v>
      </c>
    </row>
    <row r="277" spans="1:5" ht="25.5">
      <c r="A277" s="982"/>
      <c r="B277" s="985"/>
      <c r="C277" s="986" t="s">
        <v>1086</v>
      </c>
      <c r="D277" s="987" t="s">
        <v>974</v>
      </c>
      <c r="E277" s="740">
        <v>258000</v>
      </c>
    </row>
    <row r="278" spans="1:5" ht="15.75" thickBot="1">
      <c r="A278" s="982"/>
      <c r="B278" s="1233" t="s">
        <v>975</v>
      </c>
      <c r="C278" s="1235"/>
      <c r="D278" s="979"/>
      <c r="E278" s="751">
        <v>0</v>
      </c>
    </row>
    <row r="279" spans="1:5" s="958" customFormat="1" ht="15.75" thickBot="1">
      <c r="A279" s="1222"/>
      <c r="B279" s="928">
        <v>85332</v>
      </c>
      <c r="C279" s="912" t="s">
        <v>1087</v>
      </c>
      <c r="D279" s="929"/>
      <c r="E279" s="736">
        <f>SUM(E280,E286)</f>
        <v>5878556</v>
      </c>
    </row>
    <row r="280" spans="1:5">
      <c r="A280" s="1222"/>
      <c r="B280" s="1231" t="s">
        <v>971</v>
      </c>
      <c r="C280" s="1239"/>
      <c r="D280" s="963"/>
      <c r="E280" s="754">
        <f>SUM(E281:E285)</f>
        <v>5878556</v>
      </c>
    </row>
    <row r="281" spans="1:5" ht="19.5" customHeight="1">
      <c r="A281" s="1222"/>
      <c r="B281" s="1228"/>
      <c r="C281" s="988" t="s">
        <v>1041</v>
      </c>
      <c r="D281" s="989" t="s">
        <v>974</v>
      </c>
      <c r="E281" s="757">
        <v>50281</v>
      </c>
    </row>
    <row r="282" spans="1:5" ht="36.75" customHeight="1">
      <c r="A282" s="1222"/>
      <c r="B282" s="1228"/>
      <c r="C282" s="934" t="s">
        <v>1088</v>
      </c>
      <c r="D282" s="990" t="s">
        <v>317</v>
      </c>
      <c r="E282" s="740">
        <v>821000</v>
      </c>
    </row>
    <row r="283" spans="1:5" ht="39.75" customHeight="1">
      <c r="A283" s="1222"/>
      <c r="B283" s="1228"/>
      <c r="C283" s="934" t="s">
        <v>1089</v>
      </c>
      <c r="D283" s="991" t="s">
        <v>465</v>
      </c>
      <c r="E283" s="757">
        <v>3868275</v>
      </c>
    </row>
    <row r="284" spans="1:5" ht="38.25">
      <c r="A284" s="1222"/>
      <c r="B284" s="1228"/>
      <c r="C284" s="916" t="s">
        <v>978</v>
      </c>
      <c r="D284" s="973" t="s">
        <v>1021</v>
      </c>
      <c r="E284" s="813">
        <v>2000</v>
      </c>
    </row>
    <row r="285" spans="1:5" ht="15.75" customHeight="1">
      <c r="A285" s="1222"/>
      <c r="B285" s="1218"/>
      <c r="C285" s="934" t="s">
        <v>1090</v>
      </c>
      <c r="D285" s="984" t="s">
        <v>999</v>
      </c>
      <c r="E285" s="740">
        <v>1137000</v>
      </c>
    </row>
    <row r="286" spans="1:5" ht="15.75" thickBot="1">
      <c r="A286" s="1222"/>
      <c r="B286" s="1233" t="s">
        <v>980</v>
      </c>
      <c r="C286" s="1235"/>
      <c r="D286" s="979"/>
      <c r="E286" s="744">
        <v>0</v>
      </c>
    </row>
    <row r="287" spans="1:5" s="848" customFormat="1" ht="15.75" thickBot="1">
      <c r="A287" s="907">
        <v>855</v>
      </c>
      <c r="B287" s="952"/>
      <c r="C287" s="909" t="s">
        <v>896</v>
      </c>
      <c r="D287" s="953"/>
      <c r="E287" s="732">
        <f>SUM(E288,E292,E297,E301)</f>
        <v>6539957</v>
      </c>
    </row>
    <row r="288" spans="1:5" s="848" customFormat="1" ht="15.75" thickBot="1">
      <c r="A288" s="992"/>
      <c r="B288" s="993">
        <v>85501</v>
      </c>
      <c r="C288" s="912" t="s">
        <v>281</v>
      </c>
      <c r="D288" s="994"/>
      <c r="E288" s="995">
        <f>SUM(E289,E291)</f>
        <v>291000</v>
      </c>
    </row>
    <row r="289" spans="1:5" s="848" customFormat="1">
      <c r="A289" s="992"/>
      <c r="B289" s="1215" t="s">
        <v>971</v>
      </c>
      <c r="C289" s="1215"/>
      <c r="D289" s="938"/>
      <c r="E289" s="738">
        <f>SUM(E290)</f>
        <v>291000</v>
      </c>
    </row>
    <row r="290" spans="1:5" s="848" customFormat="1" ht="51.75" customHeight="1">
      <c r="A290" s="992"/>
      <c r="B290" s="996"/>
      <c r="C290" s="986" t="s">
        <v>1109</v>
      </c>
      <c r="D290" s="973" t="s">
        <v>1108</v>
      </c>
      <c r="E290" s="740">
        <v>291000</v>
      </c>
    </row>
    <row r="291" spans="1:5" s="848" customFormat="1" ht="15.75" thickBot="1">
      <c r="A291" s="992"/>
      <c r="B291" s="1229" t="s">
        <v>975</v>
      </c>
      <c r="C291" s="1229"/>
      <c r="D291" s="960"/>
      <c r="E291" s="751">
        <v>0</v>
      </c>
    </row>
    <row r="292" spans="1:5" s="848" customFormat="1" ht="39.75" customHeight="1" thickBot="1">
      <c r="A292" s="992"/>
      <c r="B292" s="993">
        <v>85502</v>
      </c>
      <c r="C292" s="912" t="s">
        <v>267</v>
      </c>
      <c r="D292" s="994"/>
      <c r="E292" s="829">
        <f>SUM(E293,E296)</f>
        <v>1879308</v>
      </c>
    </row>
    <row r="293" spans="1:5" s="848" customFormat="1">
      <c r="A293" s="992"/>
      <c r="B293" s="1215" t="s">
        <v>971</v>
      </c>
      <c r="C293" s="1215"/>
      <c r="D293" s="938"/>
      <c r="E293" s="751">
        <f>SUM(E294:E295)</f>
        <v>1879308</v>
      </c>
    </row>
    <row r="294" spans="1:5" s="848" customFormat="1" ht="25.5">
      <c r="A294" s="1060"/>
      <c r="B294" s="1250"/>
      <c r="C294" s="1117" t="s">
        <v>1084</v>
      </c>
      <c r="D294" s="984" t="s">
        <v>974</v>
      </c>
      <c r="E294" s="1071">
        <v>308</v>
      </c>
    </row>
    <row r="295" spans="1:5" s="848" customFormat="1" ht="38.25">
      <c r="A295" s="992"/>
      <c r="B295" s="1251"/>
      <c r="C295" s="1118" t="s">
        <v>978</v>
      </c>
      <c r="D295" s="973" t="s">
        <v>1021</v>
      </c>
      <c r="E295" s="740">
        <v>1879000</v>
      </c>
    </row>
    <row r="296" spans="1:5" s="848" customFormat="1" ht="15.75" thickBot="1">
      <c r="A296" s="992"/>
      <c r="B296" s="1229" t="s">
        <v>975</v>
      </c>
      <c r="C296" s="1229"/>
      <c r="D296" s="960"/>
      <c r="E296" s="751">
        <v>0</v>
      </c>
    </row>
    <row r="297" spans="1:5" s="848" customFormat="1" ht="15.75" thickBot="1">
      <c r="A297" s="992"/>
      <c r="B297" s="993">
        <v>85509</v>
      </c>
      <c r="C297" s="929" t="s">
        <v>905</v>
      </c>
      <c r="D297" s="994"/>
      <c r="E297" s="736">
        <f>SUM(E298,E300)</f>
        <v>750000</v>
      </c>
    </row>
    <row r="298" spans="1:5" s="848" customFormat="1">
      <c r="A298" s="992"/>
      <c r="B298" s="1215" t="s">
        <v>971</v>
      </c>
      <c r="C298" s="1215"/>
      <c r="D298" s="938"/>
      <c r="E298" s="738">
        <f>SUM(E299)</f>
        <v>750000</v>
      </c>
    </row>
    <row r="299" spans="1:5" s="848" customFormat="1" ht="38.25">
      <c r="A299" s="992"/>
      <c r="B299" s="996"/>
      <c r="C299" s="986" t="s">
        <v>978</v>
      </c>
      <c r="D299" s="973" t="s">
        <v>1021</v>
      </c>
      <c r="E299" s="740">
        <v>750000</v>
      </c>
    </row>
    <row r="300" spans="1:5" s="848" customFormat="1" ht="15.75" thickBot="1">
      <c r="A300" s="992"/>
      <c r="B300" s="1229" t="s">
        <v>975</v>
      </c>
      <c r="C300" s="1229"/>
      <c r="D300" s="960"/>
      <c r="E300" s="751">
        <v>0</v>
      </c>
    </row>
    <row r="301" spans="1:5" s="848" customFormat="1" ht="15.75" thickBot="1">
      <c r="A301" s="992"/>
      <c r="B301" s="993">
        <v>85510</v>
      </c>
      <c r="C301" s="997" t="s">
        <v>1091</v>
      </c>
      <c r="D301" s="994"/>
      <c r="E301" s="736">
        <f>SUM(E302,E304)</f>
        <v>3619649</v>
      </c>
    </row>
    <row r="302" spans="1:5" s="848" customFormat="1" ht="15.75" customHeight="1">
      <c r="A302" s="998"/>
      <c r="B302" s="1247" t="s">
        <v>971</v>
      </c>
      <c r="C302" s="1215"/>
      <c r="D302" s="938"/>
      <c r="E302" s="738">
        <f>SUM(E303)</f>
        <v>3619649</v>
      </c>
    </row>
    <row r="303" spans="1:5" s="848" customFormat="1" ht="38.25">
      <c r="A303" s="998"/>
      <c r="B303" s="976"/>
      <c r="C303" s="916" t="s">
        <v>1092</v>
      </c>
      <c r="D303" s="973" t="s">
        <v>653</v>
      </c>
      <c r="E303" s="740">
        <v>3619649</v>
      </c>
    </row>
    <row r="304" spans="1:5" s="848" customFormat="1" ht="15.75" customHeight="1" thickBot="1">
      <c r="A304" s="998"/>
      <c r="B304" s="1233" t="s">
        <v>975</v>
      </c>
      <c r="C304" s="1235"/>
      <c r="D304" s="979"/>
      <c r="E304" s="854">
        <v>0</v>
      </c>
    </row>
    <row r="305" spans="1:5" s="954" customFormat="1" ht="15.75" thickBot="1">
      <c r="A305" s="907">
        <v>900</v>
      </c>
      <c r="B305" s="952"/>
      <c r="C305" s="909" t="s">
        <v>152</v>
      </c>
      <c r="D305" s="953"/>
      <c r="E305" s="732">
        <f>SUM(E306,E310,E314)</f>
        <v>661000</v>
      </c>
    </row>
    <row r="306" spans="1:5" s="958" customFormat="1" ht="26.25" thickBot="1">
      <c r="A306" s="1252"/>
      <c r="B306" s="928">
        <v>90019</v>
      </c>
      <c r="C306" s="912" t="s">
        <v>913</v>
      </c>
      <c r="D306" s="929"/>
      <c r="E306" s="736">
        <f>SUM(E307,E309)</f>
        <v>650000</v>
      </c>
    </row>
    <row r="307" spans="1:5" ht="14.25" customHeight="1">
      <c r="A307" s="1252"/>
      <c r="B307" s="1215" t="s">
        <v>971</v>
      </c>
      <c r="C307" s="1215"/>
      <c r="D307" s="938"/>
      <c r="E307" s="738">
        <f>SUM(E308)</f>
        <v>650000</v>
      </c>
    </row>
    <row r="308" spans="1:5" ht="17.25" customHeight="1">
      <c r="A308" s="1252"/>
      <c r="B308" s="996"/>
      <c r="C308" s="916" t="s">
        <v>1093</v>
      </c>
      <c r="D308" s="973" t="s">
        <v>988</v>
      </c>
      <c r="E308" s="740">
        <v>650000</v>
      </c>
    </row>
    <row r="309" spans="1:5" ht="15.75" thickBot="1">
      <c r="A309" s="1252"/>
      <c r="B309" s="1229" t="s">
        <v>975</v>
      </c>
      <c r="C309" s="1229"/>
      <c r="D309" s="960"/>
      <c r="E309" s="751">
        <v>0</v>
      </c>
    </row>
    <row r="310" spans="1:5" s="958" customFormat="1" ht="26.25" thickBot="1">
      <c r="A310" s="1252"/>
      <c r="B310" s="928">
        <v>90020</v>
      </c>
      <c r="C310" s="912" t="s">
        <v>915</v>
      </c>
      <c r="D310" s="929"/>
      <c r="E310" s="736">
        <f>SUM(E311,E313)</f>
        <v>10000</v>
      </c>
    </row>
    <row r="311" spans="1:5">
      <c r="A311" s="1252"/>
      <c r="B311" s="1215" t="s">
        <v>971</v>
      </c>
      <c r="C311" s="1215"/>
      <c r="D311" s="938"/>
      <c r="E311" s="738">
        <f>SUM(E312)</f>
        <v>10000</v>
      </c>
    </row>
    <row r="312" spans="1:5" ht="25.5">
      <c r="A312" s="1252"/>
      <c r="B312" s="999"/>
      <c r="C312" s="916" t="s">
        <v>1094</v>
      </c>
      <c r="D312" s="1000" t="s">
        <v>1095</v>
      </c>
      <c r="E312" s="740">
        <v>10000</v>
      </c>
    </row>
    <row r="313" spans="1:5" ht="15.75" thickBot="1">
      <c r="A313" s="1252"/>
      <c r="B313" s="1235" t="s">
        <v>975</v>
      </c>
      <c r="C313" s="1235"/>
      <c r="D313" s="979"/>
      <c r="E313" s="751">
        <v>0</v>
      </c>
    </row>
    <row r="314" spans="1:5" ht="26.25" thickBot="1">
      <c r="A314" s="1252"/>
      <c r="B314" s="1001">
        <v>90024</v>
      </c>
      <c r="C314" s="1002" t="s">
        <v>1096</v>
      </c>
      <c r="D314" s="1003"/>
      <c r="E314" s="736">
        <f>SUM(E317,E315)</f>
        <v>1000</v>
      </c>
    </row>
    <row r="315" spans="1:5">
      <c r="A315" s="1252"/>
      <c r="B315" s="1216" t="s">
        <v>971</v>
      </c>
      <c r="C315" s="1216"/>
      <c r="D315" s="924"/>
      <c r="E315" s="738">
        <f>SUM(E316)</f>
        <v>1000</v>
      </c>
    </row>
    <row r="316" spans="1:5" ht="32.25" customHeight="1">
      <c r="A316" s="1252"/>
      <c r="B316" s="999"/>
      <c r="C316" s="1004" t="s">
        <v>1097</v>
      </c>
      <c r="D316" s="1005" t="s">
        <v>1095</v>
      </c>
      <c r="E316" s="740">
        <v>1000</v>
      </c>
    </row>
    <row r="317" spans="1:5" ht="15" customHeight="1" thickBot="1">
      <c r="A317" s="1252"/>
      <c r="B317" s="1229" t="s">
        <v>975</v>
      </c>
      <c r="C317" s="1229"/>
      <c r="D317" s="960"/>
      <c r="E317" s="751">
        <v>0</v>
      </c>
    </row>
    <row r="318" spans="1:5" ht="15.75" hidden="1" customHeight="1" thickBot="1">
      <c r="A318" s="992"/>
      <c r="B318" s="928">
        <v>90095</v>
      </c>
      <c r="C318" s="912" t="s">
        <v>238</v>
      </c>
      <c r="D318" s="929"/>
      <c r="E318" s="968">
        <v>0</v>
      </c>
    </row>
    <row r="319" spans="1:5" ht="15.75" hidden="1" customHeight="1" thickBot="1">
      <c r="A319" s="992"/>
      <c r="B319" s="1215" t="s">
        <v>971</v>
      </c>
      <c r="C319" s="1215"/>
      <c r="D319" s="938"/>
      <c r="E319" s="968">
        <v>0</v>
      </c>
    </row>
    <row r="320" spans="1:5" ht="39" hidden="1" customHeight="1" thickBot="1">
      <c r="A320" s="992"/>
      <c r="B320" s="980"/>
      <c r="C320" s="916" t="s">
        <v>979</v>
      </c>
      <c r="D320" s="973" t="s">
        <v>665</v>
      </c>
      <c r="E320" s="968">
        <v>0</v>
      </c>
    </row>
    <row r="321" spans="1:5" ht="15.75" hidden="1" customHeight="1" thickBot="1">
      <c r="A321" s="992"/>
      <c r="B321" s="1235" t="s">
        <v>975</v>
      </c>
      <c r="C321" s="1235"/>
      <c r="D321" s="979"/>
      <c r="E321" s="968">
        <v>0</v>
      </c>
    </row>
    <row r="322" spans="1:5" s="954" customFormat="1" ht="14.25" customHeight="1" thickBot="1">
      <c r="A322" s="1006">
        <v>921</v>
      </c>
      <c r="B322" s="1007"/>
      <c r="C322" s="1008" t="s">
        <v>17</v>
      </c>
      <c r="D322" s="1009"/>
      <c r="E322" s="732">
        <f>SUM(E327)</f>
        <v>3307016</v>
      </c>
    </row>
    <row r="323" spans="1:5" s="954" customFormat="1" ht="2.25" hidden="1" customHeight="1" thickBot="1">
      <c r="A323" s="1010"/>
      <c r="B323" s="1001">
        <v>92105</v>
      </c>
      <c r="C323" s="1002" t="s">
        <v>920</v>
      </c>
      <c r="D323" s="1003"/>
      <c r="E323" s="968"/>
    </row>
    <row r="324" spans="1:5" s="954" customFormat="1" ht="15.75" hidden="1" customHeight="1" thickBot="1">
      <c r="A324" s="1010"/>
      <c r="B324" s="1216" t="s">
        <v>971</v>
      </c>
      <c r="C324" s="1216"/>
      <c r="D324" s="924"/>
      <c r="E324" s="968"/>
    </row>
    <row r="325" spans="1:5" s="954" customFormat="1" ht="39" hidden="1" customHeight="1" thickBot="1">
      <c r="A325" s="1010"/>
      <c r="B325" s="1011"/>
      <c r="C325" s="916" t="s">
        <v>1098</v>
      </c>
      <c r="D325" s="1005" t="s">
        <v>900</v>
      </c>
      <c r="E325" s="968"/>
    </row>
    <row r="326" spans="1:5" s="954" customFormat="1" ht="15.75" hidden="1" customHeight="1" thickBot="1">
      <c r="A326" s="1010"/>
      <c r="B326" s="1264" t="s">
        <v>975</v>
      </c>
      <c r="C326" s="1264"/>
      <c r="D326" s="960"/>
      <c r="E326" s="968"/>
    </row>
    <row r="327" spans="1:5" s="958" customFormat="1" ht="15.75" thickBot="1">
      <c r="A327" s="1265"/>
      <c r="B327" s="928">
        <v>92116</v>
      </c>
      <c r="C327" s="912" t="s">
        <v>1099</v>
      </c>
      <c r="D327" s="929"/>
      <c r="E327" s="736">
        <f>SUM(E328,E331)</f>
        <v>3307016</v>
      </c>
    </row>
    <row r="328" spans="1:5">
      <c r="A328" s="1265"/>
      <c r="B328" s="1231" t="s">
        <v>971</v>
      </c>
      <c r="C328" s="1239"/>
      <c r="D328" s="963"/>
      <c r="E328" s="738">
        <f>SUM(E329:E330)</f>
        <v>3307016</v>
      </c>
    </row>
    <row r="329" spans="1:5" ht="38.25">
      <c r="A329" s="1265"/>
      <c r="B329" s="1228"/>
      <c r="C329" s="916" t="s">
        <v>1100</v>
      </c>
      <c r="D329" s="1012">
        <v>2310</v>
      </c>
      <c r="E329" s="740">
        <v>3234016</v>
      </c>
    </row>
    <row r="330" spans="1:5" ht="38.25">
      <c r="A330" s="1265"/>
      <c r="B330" s="1218"/>
      <c r="C330" s="916" t="s">
        <v>1101</v>
      </c>
      <c r="D330" s="1012">
        <v>2320</v>
      </c>
      <c r="E330" s="740">
        <v>73000</v>
      </c>
    </row>
    <row r="331" spans="1:5" ht="15.75" thickBot="1">
      <c r="A331" s="1265"/>
      <c r="B331" s="1233" t="s">
        <v>975</v>
      </c>
      <c r="C331" s="1235"/>
      <c r="D331" s="979"/>
      <c r="E331" s="744">
        <v>0</v>
      </c>
    </row>
    <row r="332" spans="1:5" s="954" customFormat="1" ht="30" customHeight="1" thickBot="1">
      <c r="A332" s="907">
        <v>925</v>
      </c>
      <c r="B332" s="1013"/>
      <c r="C332" s="1014" t="s">
        <v>1102</v>
      </c>
      <c r="D332" s="1015"/>
      <c r="E332" s="792">
        <f>SUM(E333)</f>
        <v>706000</v>
      </c>
    </row>
    <row r="333" spans="1:5" s="958" customFormat="1" ht="15" customHeight="1" thickBot="1">
      <c r="A333" s="1016"/>
      <c r="B333" s="955">
        <v>92502</v>
      </c>
      <c r="C333" s="956" t="s">
        <v>945</v>
      </c>
      <c r="D333" s="957"/>
      <c r="E333" s="736">
        <f>SUM(E336,E334)</f>
        <v>706000</v>
      </c>
    </row>
    <row r="334" spans="1:5">
      <c r="A334" s="982"/>
      <c r="B334" s="1231" t="s">
        <v>971</v>
      </c>
      <c r="C334" s="1239"/>
      <c r="D334" s="963"/>
      <c r="E334" s="738">
        <f>SUM(E335)</f>
        <v>706000</v>
      </c>
    </row>
    <row r="335" spans="1:5" ht="32.25" customHeight="1">
      <c r="A335" s="982"/>
      <c r="B335" s="1017"/>
      <c r="C335" s="1018" t="s">
        <v>1083</v>
      </c>
      <c r="D335" s="1019">
        <v>2230</v>
      </c>
      <c r="E335" s="740">
        <v>706000</v>
      </c>
    </row>
    <row r="336" spans="1:5" ht="15.75" thickBot="1">
      <c r="A336" s="982"/>
      <c r="B336" s="1233" t="s">
        <v>975</v>
      </c>
      <c r="C336" s="1235"/>
      <c r="D336" s="979"/>
      <c r="E336" s="1020">
        <v>0</v>
      </c>
    </row>
    <row r="337" spans="1:8" ht="21.75" customHeight="1" thickBot="1">
      <c r="A337" s="1253" t="s">
        <v>16</v>
      </c>
      <c r="B337" s="1254"/>
      <c r="C337" s="1254"/>
      <c r="D337" s="1021"/>
      <c r="E337" s="1022">
        <f>E10+E44+E50+E55+E85+E95+E116+E121+E126+E162+E167+E178+E224+E243+E265+E274+E287+E305+E322+E332</f>
        <v>1257583993</v>
      </c>
    </row>
    <row r="338" spans="1:8" ht="15" customHeight="1">
      <c r="A338" s="1255" t="s">
        <v>2</v>
      </c>
      <c r="B338" s="1256"/>
      <c r="C338" s="1257"/>
      <c r="D338" s="1023"/>
      <c r="E338" s="1024"/>
    </row>
    <row r="339" spans="1:8" ht="15" customHeight="1">
      <c r="A339" s="1258" t="s">
        <v>1103</v>
      </c>
      <c r="B339" s="1259"/>
      <c r="C339" s="1260"/>
      <c r="D339" s="1025"/>
      <c r="E339" s="1026">
        <f>E12+E17+E23+E31+E36+E40+E46+E52+E57+E63+E67+E71+E80+E87+E97+E102+E106+E112+E118+E123+E128+E132+E139+E144+E148+E152+E164+E169+E174+E180+E184+E188+E192+E196+E200+E204+E213+E226+E230+E234+E239+E245+E258+E262+E267+E271+E276+E280+E289+E293+E298+E302+E307+E311+E315+E328+E334</f>
        <v>682224373</v>
      </c>
    </row>
    <row r="340" spans="1:8" ht="15.75" thickBot="1">
      <c r="A340" s="1261" t="s">
        <v>1104</v>
      </c>
      <c r="B340" s="1262"/>
      <c r="C340" s="1263"/>
      <c r="D340" s="1027"/>
      <c r="E340" s="1028">
        <f>E15+E21+E26+E34+E38+E41+E49+E54+E61+E65+E69+E75+E84+E91+E100+E104+E110+E114+E120+E125+E130+E137+E142+E146+E150+E159+E166+E172+E177+E182+E185+E190+E194+E198+E201+E207+E219+E228+E232+E237+E242+E246+E260+E264+E269+E273+E278+E286+E291+E296+E300+E304+E309+E313+E317+E331+E336</f>
        <v>575359620</v>
      </c>
      <c r="F340" s="810">
        <f>SUM(E339:E340)</f>
        <v>1257583993</v>
      </c>
    </row>
    <row r="342" spans="1:8" ht="48" customHeight="1">
      <c r="A342" s="716"/>
      <c r="B342" s="716"/>
      <c r="C342" s="1029"/>
      <c r="D342" s="1030"/>
      <c r="E342" s="1031"/>
      <c r="F342" s="1031"/>
      <c r="G342" s="1031"/>
      <c r="H342" s="1032"/>
    </row>
    <row r="343" spans="1:8" ht="55.5" customHeight="1">
      <c r="A343" s="716"/>
      <c r="B343" s="716"/>
      <c r="C343" s="1029"/>
      <c r="D343" s="1030"/>
      <c r="E343" s="1031"/>
      <c r="F343" s="1031"/>
      <c r="G343" s="1031"/>
      <c r="H343" s="1032"/>
    </row>
    <row r="344" spans="1:8">
      <c r="A344" s="716"/>
      <c r="B344" s="716"/>
      <c r="C344" s="1029"/>
      <c r="D344" s="1030"/>
      <c r="E344" s="1031"/>
      <c r="F344" s="1031"/>
      <c r="G344" s="1031"/>
      <c r="H344" s="1032"/>
    </row>
    <row r="345" spans="1:8">
      <c r="A345" s="716"/>
      <c r="B345" s="716"/>
      <c r="C345" s="1029"/>
      <c r="D345" s="1030"/>
      <c r="E345" s="1031"/>
      <c r="F345" s="1031"/>
      <c r="G345" s="1031"/>
      <c r="H345" s="1032"/>
    </row>
    <row r="346" spans="1:8">
      <c r="A346" s="716"/>
      <c r="B346" s="716"/>
      <c r="C346" s="1033"/>
      <c r="D346" s="1033"/>
      <c r="E346" s="1034"/>
      <c r="F346" s="1034"/>
      <c r="G346" s="1034"/>
      <c r="H346" s="1032"/>
    </row>
    <row r="347" spans="1:8">
      <c r="A347" s="716"/>
      <c r="B347" s="716"/>
      <c r="C347" s="784"/>
      <c r="D347" s="1032"/>
      <c r="F347" s="1032"/>
      <c r="G347" s="1032"/>
      <c r="H347" s="1032"/>
    </row>
    <row r="348" spans="1:8">
      <c r="A348" s="716"/>
      <c r="B348" s="716"/>
      <c r="C348" s="784"/>
      <c r="D348" s="1032"/>
      <c r="F348" s="1032"/>
      <c r="G348" s="1032"/>
      <c r="H348" s="1032"/>
    </row>
    <row r="349" spans="1:8">
      <c r="A349" s="716"/>
      <c r="B349" s="716"/>
      <c r="C349" s="784"/>
      <c r="D349" s="1032"/>
      <c r="F349" s="1032"/>
      <c r="G349" s="1032"/>
      <c r="H349" s="1032"/>
    </row>
    <row r="350" spans="1:8">
      <c r="A350" s="716"/>
      <c r="B350" s="716"/>
      <c r="C350" s="784"/>
      <c r="D350" s="1032"/>
      <c r="F350" s="1032"/>
      <c r="G350" s="1032"/>
      <c r="H350" s="1032"/>
    </row>
    <row r="351" spans="1:8">
      <c r="A351" s="716"/>
      <c r="B351" s="716"/>
      <c r="C351" s="784"/>
      <c r="D351" s="1032"/>
      <c r="F351" s="1032"/>
      <c r="G351" s="1032"/>
      <c r="H351" s="1032"/>
    </row>
    <row r="352" spans="1:8">
      <c r="A352" s="716"/>
      <c r="B352" s="716"/>
      <c r="C352" s="784"/>
      <c r="D352" s="1032"/>
      <c r="F352" s="1032"/>
      <c r="G352" s="1032"/>
      <c r="H352" s="1032"/>
    </row>
    <row r="353" spans="1:8">
      <c r="A353" s="716"/>
      <c r="B353" s="716"/>
      <c r="C353" s="784"/>
      <c r="D353" s="1032"/>
      <c r="F353" s="1032"/>
      <c r="G353" s="1032"/>
      <c r="H353" s="1032"/>
    </row>
    <row r="354" spans="1:8">
      <c r="A354" s="716"/>
      <c r="B354" s="716"/>
      <c r="C354" s="784"/>
      <c r="D354" s="1032"/>
      <c r="F354" s="1032"/>
      <c r="G354" s="1032"/>
      <c r="H354" s="1032"/>
    </row>
    <row r="355" spans="1:8">
      <c r="A355" s="716"/>
      <c r="B355" s="716"/>
      <c r="C355" s="784"/>
      <c r="D355" s="1032"/>
      <c r="F355" s="1032"/>
      <c r="G355" s="1032"/>
      <c r="H355" s="1032"/>
    </row>
    <row r="356" spans="1:8">
      <c r="A356" s="716"/>
      <c r="B356" s="716"/>
      <c r="C356" s="784"/>
      <c r="D356" s="1032"/>
      <c r="F356" s="1032"/>
      <c r="G356" s="1032"/>
      <c r="H356" s="1032"/>
    </row>
    <row r="357" spans="1:8">
      <c r="A357" s="716"/>
      <c r="B357" s="716"/>
      <c r="C357" s="784"/>
      <c r="D357" s="1032"/>
      <c r="F357" s="1032"/>
      <c r="G357" s="1032"/>
      <c r="H357" s="1032"/>
    </row>
    <row r="358" spans="1:8">
      <c r="A358" s="716"/>
      <c r="B358" s="716"/>
      <c r="C358" s="784"/>
      <c r="D358" s="1032"/>
      <c r="F358" s="1032"/>
      <c r="G358" s="1032"/>
      <c r="H358" s="1032"/>
    </row>
    <row r="359" spans="1:8">
      <c r="A359" s="716"/>
      <c r="B359" s="716"/>
      <c r="C359" s="784"/>
      <c r="D359" s="1032"/>
      <c r="F359" s="1032"/>
      <c r="G359" s="1032"/>
      <c r="H359" s="1032"/>
    </row>
    <row r="360" spans="1:8">
      <c r="A360" s="716"/>
      <c r="B360" s="716"/>
      <c r="C360" s="784"/>
      <c r="D360" s="1032"/>
      <c r="F360" s="1032"/>
      <c r="G360" s="1032"/>
      <c r="H360" s="1032"/>
    </row>
    <row r="361" spans="1:8">
      <c r="A361" s="716"/>
      <c r="B361" s="716"/>
      <c r="C361" s="784"/>
      <c r="D361" s="1032"/>
      <c r="F361" s="1032"/>
      <c r="G361" s="1032"/>
      <c r="H361" s="1032"/>
    </row>
    <row r="362" spans="1:8">
      <c r="A362" s="716"/>
      <c r="B362" s="716"/>
      <c r="C362" s="784"/>
      <c r="D362" s="1032"/>
      <c r="F362" s="1032"/>
      <c r="G362" s="1032"/>
      <c r="H362" s="1032"/>
    </row>
    <row r="363" spans="1:8">
      <c r="A363" s="716"/>
      <c r="B363" s="716"/>
      <c r="C363" s="784"/>
      <c r="D363" s="1032"/>
      <c r="F363" s="1032"/>
      <c r="G363" s="1032"/>
      <c r="H363" s="1032"/>
    </row>
    <row r="364" spans="1:8">
      <c r="A364" s="716"/>
      <c r="B364" s="716"/>
      <c r="C364" s="784"/>
      <c r="D364" s="1032"/>
      <c r="F364" s="1032"/>
      <c r="G364" s="1032"/>
      <c r="H364" s="1032"/>
    </row>
    <row r="365" spans="1:8">
      <c r="A365" s="716"/>
      <c r="B365" s="716"/>
      <c r="C365" s="784"/>
      <c r="D365" s="1032"/>
      <c r="F365" s="1032"/>
      <c r="G365" s="1032"/>
      <c r="H365" s="1032"/>
    </row>
    <row r="366" spans="1:8">
      <c r="A366" s="716"/>
      <c r="B366" s="716"/>
      <c r="C366" s="784"/>
      <c r="D366" s="1032"/>
      <c r="F366" s="1032"/>
      <c r="G366" s="1032"/>
      <c r="H366" s="1032"/>
    </row>
    <row r="367" spans="1:8">
      <c r="A367" s="716"/>
      <c r="B367" s="716"/>
      <c r="C367" s="784"/>
      <c r="D367" s="1032"/>
      <c r="F367" s="1032"/>
      <c r="G367" s="1032"/>
      <c r="H367" s="1032"/>
    </row>
    <row r="368" spans="1:8">
      <c r="A368" s="716"/>
      <c r="B368" s="716"/>
      <c r="C368" s="784"/>
      <c r="D368" s="1032"/>
      <c r="F368" s="1032"/>
      <c r="G368" s="1032"/>
      <c r="H368" s="1032"/>
    </row>
    <row r="369" spans="1:4">
      <c r="A369" s="716"/>
      <c r="B369" s="716"/>
      <c r="C369" s="784"/>
      <c r="D369" s="716"/>
    </row>
    <row r="370" spans="1:4">
      <c r="A370" s="716"/>
      <c r="B370" s="716"/>
      <c r="C370" s="784"/>
      <c r="D370" s="716"/>
    </row>
    <row r="371" spans="1:4">
      <c r="A371" s="716"/>
      <c r="B371" s="716"/>
      <c r="C371" s="784"/>
      <c r="D371" s="716"/>
    </row>
    <row r="372" spans="1:4">
      <c r="A372" s="716"/>
      <c r="B372" s="716"/>
      <c r="C372" s="784"/>
      <c r="D372" s="716"/>
    </row>
    <row r="373" spans="1:4">
      <c r="A373" s="716"/>
      <c r="B373" s="716"/>
      <c r="C373" s="784"/>
      <c r="D373" s="716"/>
    </row>
    <row r="374" spans="1:4">
      <c r="A374" s="716"/>
      <c r="B374" s="716"/>
      <c r="C374" s="784"/>
      <c r="D374" s="716"/>
    </row>
    <row r="375" spans="1:4">
      <c r="A375" s="716"/>
      <c r="B375" s="716"/>
      <c r="C375" s="784"/>
      <c r="D375" s="716"/>
    </row>
    <row r="376" spans="1:4">
      <c r="A376" s="716"/>
      <c r="B376" s="716"/>
      <c r="C376" s="784"/>
      <c r="D376" s="716"/>
    </row>
    <row r="377" spans="1:4">
      <c r="A377" s="716"/>
      <c r="B377" s="716"/>
      <c r="C377" s="784"/>
      <c r="D377" s="716"/>
    </row>
    <row r="378" spans="1:4">
      <c r="A378" s="716"/>
      <c r="B378" s="716"/>
      <c r="C378" s="784"/>
      <c r="D378" s="716"/>
    </row>
    <row r="379" spans="1:4">
      <c r="A379" s="716"/>
      <c r="B379" s="716"/>
      <c r="C379" s="784"/>
      <c r="D379" s="716"/>
    </row>
    <row r="380" spans="1:4">
      <c r="A380" s="716"/>
      <c r="B380" s="716"/>
      <c r="C380" s="784"/>
      <c r="D380" s="716"/>
    </row>
    <row r="381" spans="1:4">
      <c r="A381" s="716"/>
      <c r="B381" s="716"/>
      <c r="C381" s="784"/>
      <c r="D381" s="716"/>
    </row>
    <row r="382" spans="1:4">
      <c r="A382" s="716"/>
      <c r="B382" s="716"/>
      <c r="C382" s="784"/>
      <c r="D382" s="716"/>
    </row>
    <row r="383" spans="1:4">
      <c r="A383" s="716"/>
      <c r="B383" s="716"/>
      <c r="C383" s="784"/>
      <c r="D383" s="716"/>
    </row>
    <row r="384" spans="1:4">
      <c r="A384" s="716"/>
      <c r="B384" s="716"/>
      <c r="C384" s="784"/>
      <c r="D384" s="716"/>
    </row>
    <row r="385" spans="1:4">
      <c r="A385" s="716"/>
      <c r="B385" s="716"/>
      <c r="C385" s="784"/>
      <c r="D385" s="716"/>
    </row>
    <row r="386" spans="1:4">
      <c r="A386" s="716"/>
      <c r="B386" s="716"/>
      <c r="C386" s="784"/>
      <c r="D386" s="716"/>
    </row>
    <row r="387" spans="1:4">
      <c r="A387" s="716"/>
      <c r="B387" s="716"/>
      <c r="C387" s="784"/>
      <c r="D387" s="716"/>
    </row>
    <row r="388" spans="1:4">
      <c r="A388" s="716"/>
      <c r="B388" s="716"/>
      <c r="C388" s="784"/>
      <c r="D388" s="716"/>
    </row>
    <row r="389" spans="1:4">
      <c r="A389" s="716"/>
      <c r="B389" s="716"/>
      <c r="C389" s="784"/>
      <c r="D389" s="716"/>
    </row>
    <row r="390" spans="1:4">
      <c r="A390" s="716"/>
      <c r="B390" s="716"/>
      <c r="C390" s="784"/>
      <c r="D390" s="716"/>
    </row>
    <row r="391" spans="1:4">
      <c r="A391" s="716"/>
      <c r="B391" s="716"/>
      <c r="C391" s="784"/>
      <c r="D391" s="716"/>
    </row>
    <row r="392" spans="1:4">
      <c r="A392" s="716"/>
      <c r="B392" s="716"/>
      <c r="C392" s="784"/>
      <c r="D392" s="716"/>
    </row>
    <row r="393" spans="1:4">
      <c r="A393" s="716"/>
      <c r="B393" s="716"/>
      <c r="C393" s="784"/>
      <c r="D393" s="716"/>
    </row>
    <row r="394" spans="1:4">
      <c r="A394" s="716"/>
      <c r="B394" s="716"/>
      <c r="C394" s="784"/>
      <c r="D394" s="716"/>
    </row>
    <row r="395" spans="1:4">
      <c r="A395" s="716"/>
      <c r="B395" s="716"/>
      <c r="C395" s="784"/>
      <c r="D395" s="716"/>
    </row>
    <row r="396" spans="1:4">
      <c r="A396" s="716"/>
      <c r="B396" s="716"/>
      <c r="C396" s="784"/>
      <c r="D396" s="716"/>
    </row>
    <row r="397" spans="1:4">
      <c r="A397" s="716"/>
      <c r="B397" s="716"/>
      <c r="C397" s="784"/>
      <c r="D397" s="716"/>
    </row>
    <row r="398" spans="1:4">
      <c r="A398" s="716"/>
      <c r="B398" s="716"/>
      <c r="C398" s="784"/>
      <c r="D398" s="716"/>
    </row>
    <row r="399" spans="1:4">
      <c r="A399" s="716"/>
      <c r="B399" s="716"/>
      <c r="C399" s="784"/>
      <c r="D399" s="716"/>
    </row>
    <row r="400" spans="1:4">
      <c r="A400" s="716"/>
      <c r="B400" s="716"/>
      <c r="C400" s="784"/>
      <c r="D400" s="716"/>
    </row>
    <row r="401" spans="1:4">
      <c r="A401" s="716"/>
      <c r="B401" s="716"/>
      <c r="C401" s="784"/>
      <c r="D401" s="716"/>
    </row>
    <row r="402" spans="1:4">
      <c r="A402" s="716"/>
      <c r="B402" s="716"/>
      <c r="C402" s="784"/>
      <c r="D402" s="716"/>
    </row>
    <row r="403" spans="1:4">
      <c r="A403" s="716"/>
      <c r="B403" s="716"/>
      <c r="C403" s="784"/>
      <c r="D403" s="716"/>
    </row>
    <row r="404" spans="1:4">
      <c r="A404" s="716"/>
      <c r="B404" s="716"/>
      <c r="C404" s="784"/>
      <c r="D404" s="716"/>
    </row>
    <row r="405" spans="1:4">
      <c r="A405" s="716"/>
      <c r="B405" s="716"/>
      <c r="C405" s="784"/>
      <c r="D405" s="716"/>
    </row>
    <row r="406" spans="1:4">
      <c r="A406" s="716"/>
      <c r="B406" s="716"/>
      <c r="C406" s="784"/>
      <c r="D406" s="716"/>
    </row>
    <row r="407" spans="1:4">
      <c r="A407" s="716"/>
      <c r="B407" s="716"/>
      <c r="C407" s="784"/>
      <c r="D407" s="716"/>
    </row>
    <row r="408" spans="1:4">
      <c r="A408" s="716"/>
      <c r="B408" s="716"/>
      <c r="C408" s="784"/>
      <c r="D408" s="716"/>
    </row>
    <row r="409" spans="1:4">
      <c r="A409" s="716"/>
      <c r="B409" s="716"/>
      <c r="C409" s="784"/>
      <c r="D409" s="716"/>
    </row>
    <row r="410" spans="1:4">
      <c r="A410" s="716"/>
      <c r="B410" s="716"/>
      <c r="C410" s="784"/>
      <c r="D410" s="716"/>
    </row>
    <row r="411" spans="1:4">
      <c r="A411" s="716"/>
      <c r="B411" s="716"/>
      <c r="C411" s="784"/>
      <c r="D411" s="716"/>
    </row>
    <row r="412" spans="1:4">
      <c r="A412" s="716"/>
      <c r="B412" s="716"/>
      <c r="C412" s="784"/>
      <c r="D412" s="716"/>
    </row>
    <row r="413" spans="1:4">
      <c r="A413" s="716"/>
      <c r="B413" s="716"/>
      <c r="C413" s="784"/>
      <c r="D413" s="716"/>
    </row>
    <row r="414" spans="1:4">
      <c r="A414" s="716"/>
      <c r="B414" s="716"/>
      <c r="C414" s="784"/>
      <c r="D414" s="716"/>
    </row>
    <row r="415" spans="1:4">
      <c r="A415" s="716"/>
      <c r="B415" s="716"/>
      <c r="C415" s="784"/>
      <c r="D415" s="716"/>
    </row>
    <row r="416" spans="1:4">
      <c r="A416" s="716"/>
      <c r="B416" s="716"/>
      <c r="C416" s="784"/>
      <c r="D416" s="716"/>
    </row>
    <row r="417" spans="1:4">
      <c r="A417" s="716"/>
      <c r="B417" s="716"/>
      <c r="C417" s="784"/>
      <c r="D417" s="716"/>
    </row>
    <row r="418" spans="1:4">
      <c r="A418" s="716"/>
      <c r="B418" s="716"/>
      <c r="C418" s="784"/>
      <c r="D418" s="716"/>
    </row>
    <row r="419" spans="1:4">
      <c r="A419" s="716"/>
      <c r="B419" s="716"/>
      <c r="C419" s="784"/>
      <c r="D419" s="716"/>
    </row>
    <row r="420" spans="1:4">
      <c r="A420" s="716"/>
      <c r="B420" s="716"/>
      <c r="C420" s="784"/>
      <c r="D420" s="716"/>
    </row>
    <row r="421" spans="1:4">
      <c r="A421" s="716"/>
      <c r="B421" s="716"/>
      <c r="C421" s="784"/>
      <c r="D421" s="716"/>
    </row>
    <row r="422" spans="1:4">
      <c r="A422" s="716"/>
      <c r="B422" s="716"/>
      <c r="C422" s="784"/>
      <c r="D422" s="716"/>
    </row>
    <row r="423" spans="1:4">
      <c r="A423" s="716"/>
      <c r="B423" s="716"/>
      <c r="C423" s="784"/>
      <c r="D423" s="716"/>
    </row>
    <row r="424" spans="1:4">
      <c r="A424" s="716"/>
      <c r="B424" s="716"/>
      <c r="C424" s="784"/>
      <c r="D424" s="716"/>
    </row>
    <row r="425" spans="1:4">
      <c r="A425" s="716"/>
      <c r="B425" s="716"/>
      <c r="C425" s="784"/>
      <c r="D425" s="716"/>
    </row>
    <row r="426" spans="1:4">
      <c r="A426" s="716"/>
      <c r="B426" s="716"/>
      <c r="C426" s="784"/>
      <c r="D426" s="716"/>
    </row>
    <row r="427" spans="1:4">
      <c r="A427" s="716"/>
      <c r="B427" s="716"/>
      <c r="C427" s="784"/>
      <c r="D427" s="716"/>
    </row>
    <row r="428" spans="1:4">
      <c r="A428" s="716"/>
      <c r="B428" s="716"/>
      <c r="C428" s="784"/>
      <c r="D428" s="716"/>
    </row>
    <row r="429" spans="1:4">
      <c r="A429" s="716"/>
      <c r="B429" s="716"/>
      <c r="C429" s="784"/>
      <c r="D429" s="716"/>
    </row>
    <row r="430" spans="1:4">
      <c r="A430" s="716"/>
      <c r="B430" s="716"/>
      <c r="C430" s="784"/>
      <c r="D430" s="716"/>
    </row>
    <row r="431" spans="1:4">
      <c r="A431" s="716"/>
      <c r="B431" s="716"/>
      <c r="C431" s="784"/>
      <c r="D431" s="716"/>
    </row>
    <row r="432" spans="1:4">
      <c r="A432" s="716"/>
      <c r="B432" s="716"/>
      <c r="C432" s="784"/>
      <c r="D432" s="716"/>
    </row>
    <row r="433" spans="1:4">
      <c r="A433" s="716"/>
      <c r="B433" s="716"/>
      <c r="C433" s="784"/>
      <c r="D433" s="716"/>
    </row>
    <row r="434" spans="1:4">
      <c r="A434" s="716"/>
      <c r="B434" s="716"/>
      <c r="C434" s="784"/>
      <c r="D434" s="716"/>
    </row>
    <row r="435" spans="1:4">
      <c r="A435" s="716"/>
      <c r="B435" s="716"/>
      <c r="C435" s="784"/>
      <c r="D435" s="716"/>
    </row>
    <row r="436" spans="1:4">
      <c r="A436" s="716"/>
      <c r="B436" s="716"/>
      <c r="C436" s="784"/>
      <c r="D436" s="716"/>
    </row>
    <row r="437" spans="1:4">
      <c r="A437" s="716"/>
      <c r="B437" s="716"/>
      <c r="C437" s="784"/>
      <c r="D437" s="716"/>
    </row>
    <row r="438" spans="1:4">
      <c r="A438" s="716"/>
      <c r="B438" s="716"/>
      <c r="C438" s="784"/>
      <c r="D438" s="716"/>
    </row>
    <row r="439" spans="1:4">
      <c r="A439" s="716"/>
      <c r="B439" s="716"/>
      <c r="C439" s="784"/>
      <c r="D439" s="716"/>
    </row>
    <row r="440" spans="1:4">
      <c r="A440" s="716"/>
      <c r="B440" s="716"/>
      <c r="C440" s="784"/>
      <c r="D440" s="716"/>
    </row>
    <row r="441" spans="1:4">
      <c r="A441" s="716"/>
      <c r="B441" s="716"/>
      <c r="C441" s="784"/>
      <c r="D441" s="716"/>
    </row>
    <row r="442" spans="1:4">
      <c r="A442" s="716"/>
      <c r="B442" s="716"/>
      <c r="C442" s="784"/>
      <c r="D442" s="716"/>
    </row>
    <row r="443" spans="1:4">
      <c r="A443" s="716"/>
      <c r="B443" s="716"/>
      <c r="C443" s="784"/>
      <c r="D443" s="716"/>
    </row>
    <row r="444" spans="1:4">
      <c r="A444" s="716"/>
      <c r="B444" s="716"/>
      <c r="C444" s="784"/>
      <c r="D444" s="716"/>
    </row>
    <row r="445" spans="1:4">
      <c r="A445" s="716"/>
      <c r="B445" s="716"/>
      <c r="C445" s="784"/>
      <c r="D445" s="716"/>
    </row>
    <row r="446" spans="1:4">
      <c r="A446" s="716"/>
      <c r="B446" s="716"/>
      <c r="C446" s="784"/>
      <c r="D446" s="716"/>
    </row>
    <row r="447" spans="1:4">
      <c r="A447" s="716"/>
      <c r="B447" s="716"/>
      <c r="C447" s="784"/>
      <c r="D447" s="716"/>
    </row>
    <row r="448" spans="1:4">
      <c r="A448" s="716"/>
      <c r="B448" s="716"/>
      <c r="C448" s="784"/>
      <c r="D448" s="716"/>
    </row>
    <row r="449" spans="1:4">
      <c r="A449" s="716"/>
      <c r="B449" s="716"/>
      <c r="C449" s="784"/>
      <c r="D449" s="716"/>
    </row>
    <row r="450" spans="1:4">
      <c r="A450" s="716"/>
      <c r="B450" s="716"/>
      <c r="C450" s="784"/>
      <c r="D450" s="716"/>
    </row>
    <row r="451" spans="1:4">
      <c r="A451" s="716"/>
      <c r="B451" s="716"/>
      <c r="C451" s="784"/>
      <c r="D451" s="716"/>
    </row>
    <row r="452" spans="1:4">
      <c r="A452" s="716"/>
      <c r="B452" s="716"/>
      <c r="C452" s="784"/>
      <c r="D452" s="716"/>
    </row>
    <row r="453" spans="1:4">
      <c r="A453" s="716"/>
      <c r="B453" s="716"/>
      <c r="C453" s="784"/>
      <c r="D453" s="716"/>
    </row>
    <row r="454" spans="1:4">
      <c r="A454" s="716"/>
      <c r="B454" s="716"/>
      <c r="C454" s="784"/>
      <c r="D454" s="716"/>
    </row>
    <row r="455" spans="1:4">
      <c r="A455" s="716"/>
      <c r="B455" s="716"/>
      <c r="C455" s="784"/>
      <c r="D455" s="716"/>
    </row>
    <row r="456" spans="1:4">
      <c r="A456" s="716"/>
      <c r="B456" s="716"/>
      <c r="C456" s="784"/>
      <c r="D456" s="716"/>
    </row>
    <row r="457" spans="1:4">
      <c r="A457" s="716"/>
      <c r="B457" s="716"/>
      <c r="C457" s="784"/>
      <c r="D457" s="716"/>
    </row>
    <row r="458" spans="1:4">
      <c r="A458" s="716"/>
      <c r="B458" s="716"/>
      <c r="C458" s="784"/>
      <c r="D458" s="716"/>
    </row>
    <row r="459" spans="1:4">
      <c r="A459" s="716"/>
      <c r="B459" s="716"/>
      <c r="C459" s="784"/>
      <c r="D459" s="716"/>
    </row>
    <row r="460" spans="1:4">
      <c r="A460" s="716"/>
      <c r="B460" s="716"/>
      <c r="C460" s="784"/>
      <c r="D460" s="716"/>
    </row>
    <row r="461" spans="1:4">
      <c r="A461" s="716"/>
      <c r="B461" s="716"/>
      <c r="C461" s="784"/>
      <c r="D461" s="716"/>
    </row>
    <row r="462" spans="1:4">
      <c r="A462" s="716"/>
      <c r="B462" s="716"/>
      <c r="C462" s="784"/>
      <c r="D462" s="716"/>
    </row>
    <row r="463" spans="1:4">
      <c r="A463" s="716"/>
      <c r="B463" s="716"/>
      <c r="C463" s="784"/>
      <c r="D463" s="716"/>
    </row>
    <row r="464" spans="1:4">
      <c r="A464" s="716"/>
      <c r="B464" s="716"/>
      <c r="C464" s="784"/>
      <c r="D464" s="716"/>
    </row>
    <row r="465" spans="1:4">
      <c r="A465" s="716"/>
      <c r="B465" s="716"/>
      <c r="C465" s="784"/>
      <c r="D465" s="716"/>
    </row>
    <row r="466" spans="1:4">
      <c r="A466" s="716"/>
      <c r="B466" s="716"/>
      <c r="C466" s="784"/>
      <c r="D466" s="716"/>
    </row>
    <row r="467" spans="1:4">
      <c r="A467" s="716"/>
      <c r="B467" s="716"/>
      <c r="C467" s="784"/>
      <c r="D467" s="716"/>
    </row>
    <row r="468" spans="1:4">
      <c r="A468" s="716"/>
      <c r="B468" s="716"/>
      <c r="C468" s="784"/>
      <c r="D468" s="716"/>
    </row>
    <row r="469" spans="1:4">
      <c r="A469" s="716"/>
      <c r="B469" s="716"/>
      <c r="C469" s="784"/>
      <c r="D469" s="716"/>
    </row>
    <row r="470" spans="1:4">
      <c r="A470" s="716"/>
      <c r="B470" s="716"/>
      <c r="C470" s="784"/>
      <c r="D470" s="716"/>
    </row>
    <row r="471" spans="1:4">
      <c r="A471" s="716"/>
      <c r="B471" s="716"/>
      <c r="C471" s="784"/>
      <c r="D471" s="716"/>
    </row>
    <row r="472" spans="1:4">
      <c r="A472" s="716"/>
      <c r="B472" s="716"/>
      <c r="C472" s="784"/>
      <c r="D472" s="716"/>
    </row>
    <row r="473" spans="1:4">
      <c r="A473" s="716"/>
      <c r="B473" s="716"/>
      <c r="C473" s="784"/>
      <c r="D473" s="716"/>
    </row>
    <row r="474" spans="1:4">
      <c r="A474" s="716"/>
      <c r="B474" s="716"/>
      <c r="C474" s="784"/>
      <c r="D474" s="716"/>
    </row>
    <row r="475" spans="1:4">
      <c r="A475" s="716"/>
      <c r="B475" s="716"/>
      <c r="C475" s="784"/>
      <c r="D475" s="716"/>
    </row>
    <row r="476" spans="1:4">
      <c r="A476" s="716"/>
      <c r="B476" s="716"/>
      <c r="C476" s="784"/>
      <c r="D476" s="716"/>
    </row>
    <row r="477" spans="1:4">
      <c r="A477" s="716"/>
      <c r="B477" s="716"/>
      <c r="C477" s="784"/>
      <c r="D477" s="716"/>
    </row>
    <row r="478" spans="1:4">
      <c r="A478" s="716"/>
      <c r="B478" s="716"/>
      <c r="C478" s="784"/>
      <c r="D478" s="716"/>
    </row>
    <row r="479" spans="1:4">
      <c r="A479" s="716"/>
      <c r="B479" s="716"/>
      <c r="C479" s="784"/>
      <c r="D479" s="716"/>
    </row>
    <row r="480" spans="1:4">
      <c r="A480" s="716"/>
      <c r="B480" s="716"/>
      <c r="C480" s="784"/>
      <c r="D480" s="716"/>
    </row>
    <row r="481" spans="1:4">
      <c r="A481" s="716"/>
      <c r="B481" s="716"/>
      <c r="C481" s="784"/>
      <c r="D481" s="716"/>
    </row>
    <row r="482" spans="1:4">
      <c r="A482" s="716"/>
      <c r="B482" s="716"/>
      <c r="C482" s="784"/>
      <c r="D482" s="716"/>
    </row>
    <row r="483" spans="1:4">
      <c r="A483" s="716"/>
      <c r="B483" s="716"/>
      <c r="C483" s="784"/>
      <c r="D483" s="716"/>
    </row>
    <row r="484" spans="1:4">
      <c r="A484" s="716"/>
      <c r="B484" s="716"/>
      <c r="C484" s="784"/>
      <c r="D484" s="716"/>
    </row>
    <row r="485" spans="1:4">
      <c r="A485" s="716"/>
      <c r="B485" s="716"/>
      <c r="C485" s="784"/>
      <c r="D485" s="716"/>
    </row>
    <row r="486" spans="1:4">
      <c r="A486" s="716"/>
      <c r="B486" s="716"/>
      <c r="C486" s="784"/>
      <c r="D486" s="716"/>
    </row>
    <row r="487" spans="1:4">
      <c r="A487" s="716"/>
      <c r="B487" s="716"/>
      <c r="C487" s="784"/>
      <c r="D487" s="716"/>
    </row>
    <row r="488" spans="1:4">
      <c r="A488" s="716"/>
      <c r="B488" s="716"/>
      <c r="C488" s="784"/>
      <c r="D488" s="716"/>
    </row>
    <row r="489" spans="1:4">
      <c r="A489" s="716"/>
      <c r="B489" s="716"/>
      <c r="C489" s="784"/>
      <c r="D489" s="716"/>
    </row>
    <row r="490" spans="1:4">
      <c r="A490" s="716"/>
      <c r="B490" s="716"/>
      <c r="C490" s="784"/>
      <c r="D490" s="716"/>
    </row>
    <row r="491" spans="1:4">
      <c r="A491" s="716"/>
      <c r="B491" s="716"/>
      <c r="C491" s="784"/>
      <c r="D491" s="716"/>
    </row>
    <row r="492" spans="1:4">
      <c r="A492" s="716"/>
      <c r="B492" s="716"/>
      <c r="C492" s="784"/>
      <c r="D492" s="716"/>
    </row>
    <row r="493" spans="1:4">
      <c r="A493" s="716"/>
      <c r="B493" s="716"/>
      <c r="C493" s="784"/>
      <c r="D493" s="716"/>
    </row>
    <row r="494" spans="1:4">
      <c r="A494" s="716"/>
      <c r="B494" s="716"/>
      <c r="C494" s="784"/>
      <c r="D494" s="716"/>
    </row>
    <row r="495" spans="1:4">
      <c r="A495" s="716"/>
      <c r="B495" s="716"/>
      <c r="C495" s="784"/>
      <c r="D495" s="716"/>
    </row>
    <row r="496" spans="1:4">
      <c r="A496" s="716"/>
      <c r="B496" s="716"/>
      <c r="C496" s="784"/>
      <c r="D496" s="716"/>
    </row>
    <row r="497" spans="1:4">
      <c r="A497" s="716"/>
      <c r="B497" s="716"/>
      <c r="C497" s="784"/>
      <c r="D497" s="716"/>
    </row>
    <row r="498" spans="1:4">
      <c r="A498" s="716"/>
      <c r="B498" s="716"/>
      <c r="C498" s="784"/>
      <c r="D498" s="716"/>
    </row>
    <row r="499" spans="1:4">
      <c r="A499" s="716"/>
      <c r="B499" s="716"/>
      <c r="C499" s="784"/>
      <c r="D499" s="716"/>
    </row>
    <row r="500" spans="1:4">
      <c r="A500" s="716"/>
      <c r="B500" s="716"/>
      <c r="C500" s="784"/>
      <c r="D500" s="716"/>
    </row>
    <row r="501" spans="1:4">
      <c r="A501" s="716"/>
      <c r="B501" s="716"/>
      <c r="C501" s="784"/>
      <c r="D501" s="716"/>
    </row>
    <row r="502" spans="1:4">
      <c r="A502" s="716"/>
      <c r="B502" s="716"/>
      <c r="C502" s="784"/>
      <c r="D502" s="716"/>
    </row>
    <row r="503" spans="1:4">
      <c r="A503" s="716"/>
      <c r="B503" s="716"/>
      <c r="C503" s="784"/>
      <c r="D503" s="716"/>
    </row>
    <row r="504" spans="1:4">
      <c r="A504" s="716"/>
      <c r="B504" s="716"/>
      <c r="C504" s="784"/>
      <c r="D504" s="716"/>
    </row>
    <row r="505" spans="1:4">
      <c r="A505" s="716"/>
      <c r="B505" s="716"/>
      <c r="C505" s="784"/>
      <c r="D505" s="716"/>
    </row>
    <row r="506" spans="1:4">
      <c r="A506" s="716"/>
      <c r="B506" s="716"/>
      <c r="C506" s="784"/>
      <c r="D506" s="716"/>
    </row>
    <row r="507" spans="1:4">
      <c r="A507" s="716"/>
      <c r="B507" s="716"/>
      <c r="C507" s="784"/>
      <c r="D507" s="716"/>
    </row>
    <row r="508" spans="1:4">
      <c r="A508" s="716"/>
      <c r="B508" s="716"/>
      <c r="C508" s="784"/>
      <c r="D508" s="716"/>
    </row>
    <row r="509" spans="1:4">
      <c r="A509" s="716"/>
      <c r="B509" s="716"/>
      <c r="C509" s="784"/>
      <c r="D509" s="716"/>
    </row>
    <row r="510" spans="1:4">
      <c r="A510" s="716"/>
      <c r="B510" s="716"/>
      <c r="C510" s="784"/>
      <c r="D510" s="716"/>
    </row>
    <row r="511" spans="1:4">
      <c r="A511" s="716"/>
      <c r="B511" s="716"/>
      <c r="C511" s="784"/>
      <c r="D511" s="716"/>
    </row>
    <row r="512" spans="1:4">
      <c r="A512" s="716"/>
      <c r="B512" s="716"/>
      <c r="C512" s="784"/>
      <c r="D512" s="716"/>
    </row>
    <row r="513" spans="1:4">
      <c r="A513" s="716"/>
      <c r="B513" s="716"/>
      <c r="C513" s="784"/>
      <c r="D513" s="716"/>
    </row>
    <row r="514" spans="1:4">
      <c r="A514" s="716"/>
      <c r="B514" s="716"/>
      <c r="C514" s="784"/>
      <c r="D514" s="716"/>
    </row>
    <row r="515" spans="1:4">
      <c r="A515" s="716"/>
      <c r="B515" s="716"/>
      <c r="C515" s="784"/>
      <c r="D515" s="716"/>
    </row>
    <row r="516" spans="1:4">
      <c r="A516" s="716"/>
      <c r="B516" s="716"/>
      <c r="C516" s="784"/>
      <c r="D516" s="716"/>
    </row>
    <row r="517" spans="1:4">
      <c r="A517" s="716"/>
      <c r="B517" s="716"/>
      <c r="C517" s="784"/>
      <c r="D517" s="716"/>
    </row>
    <row r="518" spans="1:4">
      <c r="A518" s="716"/>
      <c r="B518" s="716"/>
      <c r="C518" s="784"/>
      <c r="D518" s="716"/>
    </row>
    <row r="519" spans="1:4">
      <c r="A519" s="716"/>
      <c r="B519" s="716"/>
      <c r="C519" s="784"/>
      <c r="D519" s="716"/>
    </row>
    <row r="520" spans="1:4">
      <c r="A520" s="716"/>
      <c r="B520" s="716"/>
      <c r="C520" s="784"/>
      <c r="D520" s="716"/>
    </row>
    <row r="521" spans="1:4">
      <c r="A521" s="716"/>
      <c r="B521" s="716"/>
      <c r="C521" s="784"/>
      <c r="D521" s="716"/>
    </row>
    <row r="522" spans="1:4">
      <c r="A522" s="716"/>
      <c r="B522" s="716"/>
      <c r="C522" s="784"/>
      <c r="D522" s="716"/>
    </row>
    <row r="523" spans="1:4">
      <c r="A523" s="716"/>
      <c r="B523" s="716"/>
      <c r="C523" s="784"/>
      <c r="D523" s="716"/>
    </row>
    <row r="524" spans="1:4">
      <c r="A524" s="716"/>
      <c r="B524" s="716"/>
      <c r="C524" s="784"/>
      <c r="D524" s="716"/>
    </row>
    <row r="525" spans="1:4">
      <c r="A525" s="716"/>
      <c r="B525" s="716"/>
      <c r="C525" s="784"/>
      <c r="D525" s="716"/>
    </row>
    <row r="526" spans="1:4">
      <c r="A526" s="716"/>
      <c r="B526" s="716"/>
      <c r="C526" s="784"/>
      <c r="D526" s="716"/>
    </row>
    <row r="527" spans="1:4">
      <c r="A527" s="716"/>
      <c r="B527" s="716"/>
      <c r="C527" s="784"/>
      <c r="D527" s="716"/>
    </row>
    <row r="528" spans="1:4">
      <c r="A528" s="716"/>
      <c r="B528" s="716"/>
      <c r="C528" s="784"/>
      <c r="D528" s="716"/>
    </row>
    <row r="529" spans="1:4">
      <c r="A529" s="716"/>
      <c r="B529" s="716"/>
      <c r="C529" s="784"/>
      <c r="D529" s="716"/>
    </row>
    <row r="530" spans="1:4">
      <c r="A530" s="716"/>
      <c r="B530" s="716"/>
      <c r="C530" s="784"/>
      <c r="D530" s="716"/>
    </row>
    <row r="531" spans="1:4">
      <c r="A531" s="716"/>
      <c r="B531" s="716"/>
      <c r="C531" s="784"/>
      <c r="D531" s="716"/>
    </row>
    <row r="532" spans="1:4">
      <c r="A532" s="716"/>
      <c r="B532" s="716"/>
      <c r="C532" s="784"/>
      <c r="D532" s="716"/>
    </row>
    <row r="533" spans="1:4">
      <c r="A533" s="716"/>
      <c r="B533" s="716"/>
      <c r="C533" s="784"/>
      <c r="D533" s="716"/>
    </row>
    <row r="534" spans="1:4">
      <c r="A534" s="716"/>
      <c r="B534" s="716"/>
      <c r="C534" s="784"/>
      <c r="D534" s="716"/>
    </row>
    <row r="535" spans="1:4">
      <c r="A535" s="716"/>
      <c r="B535" s="716"/>
      <c r="C535" s="784"/>
      <c r="D535" s="716"/>
    </row>
    <row r="536" spans="1:4">
      <c r="A536" s="716"/>
      <c r="B536" s="716"/>
      <c r="C536" s="784"/>
      <c r="D536" s="716"/>
    </row>
    <row r="537" spans="1:4">
      <c r="A537" s="716"/>
      <c r="B537" s="716"/>
      <c r="C537" s="784"/>
      <c r="D537" s="716"/>
    </row>
    <row r="538" spans="1:4">
      <c r="A538" s="716"/>
      <c r="B538" s="716"/>
      <c r="C538" s="784"/>
      <c r="D538" s="716"/>
    </row>
    <row r="539" spans="1:4">
      <c r="A539" s="716"/>
      <c r="B539" s="716"/>
      <c r="C539" s="784"/>
      <c r="D539" s="716"/>
    </row>
    <row r="540" spans="1:4">
      <c r="A540" s="716"/>
      <c r="B540" s="716"/>
      <c r="C540" s="784"/>
      <c r="D540" s="716"/>
    </row>
    <row r="541" spans="1:4">
      <c r="A541" s="716"/>
      <c r="B541" s="716"/>
      <c r="C541" s="784"/>
      <c r="D541" s="716"/>
    </row>
    <row r="542" spans="1:4">
      <c r="A542" s="716"/>
      <c r="B542" s="716"/>
      <c r="C542" s="784"/>
      <c r="D542" s="716"/>
    </row>
    <row r="543" spans="1:4">
      <c r="A543" s="716"/>
      <c r="B543" s="716"/>
      <c r="C543" s="784"/>
      <c r="D543" s="716"/>
    </row>
    <row r="544" spans="1:4">
      <c r="A544" s="716"/>
      <c r="B544" s="716"/>
      <c r="C544" s="784"/>
      <c r="D544" s="716"/>
    </row>
    <row r="545" spans="1:4">
      <c r="A545" s="716"/>
      <c r="B545" s="716"/>
      <c r="C545" s="784"/>
      <c r="D545" s="716"/>
    </row>
    <row r="546" spans="1:4">
      <c r="A546" s="716"/>
      <c r="B546" s="716"/>
      <c r="C546" s="784"/>
      <c r="D546" s="716"/>
    </row>
    <row r="547" spans="1:4">
      <c r="A547" s="716"/>
      <c r="B547" s="716"/>
      <c r="C547" s="784"/>
      <c r="D547" s="716"/>
    </row>
    <row r="548" spans="1:4">
      <c r="A548" s="716"/>
      <c r="B548" s="716"/>
      <c r="C548" s="784"/>
      <c r="D548" s="716"/>
    </row>
    <row r="549" spans="1:4">
      <c r="A549" s="716"/>
      <c r="B549" s="716"/>
      <c r="C549" s="784"/>
      <c r="D549" s="716"/>
    </row>
    <row r="550" spans="1:4">
      <c r="A550" s="716"/>
      <c r="B550" s="716"/>
      <c r="C550" s="784"/>
      <c r="D550" s="716"/>
    </row>
    <row r="551" spans="1:4">
      <c r="A551" s="716"/>
      <c r="B551" s="716"/>
      <c r="C551" s="784"/>
      <c r="D551" s="716"/>
    </row>
    <row r="552" spans="1:4">
      <c r="A552" s="716"/>
      <c r="B552" s="716"/>
      <c r="C552" s="784"/>
      <c r="D552" s="716"/>
    </row>
    <row r="553" spans="1:4">
      <c r="A553" s="716"/>
      <c r="B553" s="716"/>
      <c r="C553" s="784"/>
      <c r="D553" s="716"/>
    </row>
    <row r="554" spans="1:4">
      <c r="A554" s="716"/>
      <c r="B554" s="716"/>
      <c r="C554" s="784"/>
      <c r="D554" s="716"/>
    </row>
    <row r="555" spans="1:4">
      <c r="A555" s="716"/>
      <c r="B555" s="716"/>
      <c r="C555" s="784"/>
      <c r="D555" s="716"/>
    </row>
    <row r="556" spans="1:4">
      <c r="A556" s="716"/>
      <c r="B556" s="716"/>
      <c r="C556" s="784"/>
      <c r="D556" s="716"/>
    </row>
    <row r="557" spans="1:4">
      <c r="A557" s="716"/>
      <c r="B557" s="716"/>
      <c r="C557" s="784"/>
      <c r="D557" s="716"/>
    </row>
    <row r="558" spans="1:4">
      <c r="A558" s="716"/>
      <c r="B558" s="716"/>
      <c r="C558" s="784"/>
      <c r="D558" s="716"/>
    </row>
    <row r="559" spans="1:4">
      <c r="A559" s="716"/>
      <c r="B559" s="716"/>
      <c r="C559" s="784"/>
      <c r="D559" s="716"/>
    </row>
    <row r="560" spans="1:4">
      <c r="A560" s="716"/>
      <c r="B560" s="716"/>
      <c r="C560" s="784"/>
      <c r="D560" s="716"/>
    </row>
    <row r="561" spans="1:4">
      <c r="A561" s="716"/>
      <c r="B561" s="716"/>
      <c r="C561" s="784"/>
      <c r="D561" s="716"/>
    </row>
    <row r="562" spans="1:4">
      <c r="A562" s="716"/>
      <c r="B562" s="716"/>
      <c r="C562" s="784"/>
      <c r="D562" s="716"/>
    </row>
    <row r="563" spans="1:4">
      <c r="A563" s="716"/>
      <c r="B563" s="716"/>
      <c r="C563" s="784"/>
      <c r="D563" s="716"/>
    </row>
    <row r="564" spans="1:4">
      <c r="A564" s="716"/>
      <c r="B564" s="716"/>
      <c r="C564" s="784"/>
      <c r="D564" s="716"/>
    </row>
    <row r="565" spans="1:4">
      <c r="A565" s="716"/>
      <c r="B565" s="716"/>
      <c r="C565" s="784"/>
      <c r="D565" s="716"/>
    </row>
    <row r="566" spans="1:4">
      <c r="A566" s="716"/>
      <c r="B566" s="716"/>
      <c r="C566" s="784"/>
      <c r="D566" s="716"/>
    </row>
    <row r="567" spans="1:4">
      <c r="A567" s="716"/>
      <c r="B567" s="716"/>
      <c r="C567" s="784"/>
      <c r="D567" s="716"/>
    </row>
    <row r="568" spans="1:4">
      <c r="A568" s="716"/>
      <c r="B568" s="716"/>
      <c r="C568" s="784"/>
      <c r="D568" s="716"/>
    </row>
    <row r="569" spans="1:4">
      <c r="A569" s="716"/>
      <c r="B569" s="716"/>
      <c r="C569" s="784"/>
      <c r="D569" s="716"/>
    </row>
    <row r="570" spans="1:4">
      <c r="A570" s="716"/>
      <c r="B570" s="716"/>
      <c r="C570" s="784"/>
      <c r="D570" s="716"/>
    </row>
    <row r="571" spans="1:4">
      <c r="A571" s="716"/>
      <c r="B571" s="716"/>
      <c r="C571" s="784"/>
      <c r="D571" s="716"/>
    </row>
    <row r="572" spans="1:4">
      <c r="A572" s="716"/>
      <c r="B572" s="716"/>
      <c r="C572" s="784"/>
      <c r="D572" s="716"/>
    </row>
    <row r="573" spans="1:4">
      <c r="A573" s="716"/>
      <c r="B573" s="716"/>
      <c r="C573" s="784"/>
      <c r="D573" s="716"/>
    </row>
    <row r="574" spans="1:4">
      <c r="A574" s="716"/>
      <c r="B574" s="716"/>
      <c r="C574" s="784"/>
      <c r="D574" s="716"/>
    </row>
    <row r="575" spans="1:4">
      <c r="A575" s="716"/>
      <c r="B575" s="716"/>
      <c r="C575" s="784"/>
      <c r="D575" s="716"/>
    </row>
    <row r="576" spans="1:4">
      <c r="A576" s="716"/>
      <c r="B576" s="716"/>
      <c r="C576" s="784"/>
      <c r="D576" s="716"/>
    </row>
    <row r="577" spans="1:4">
      <c r="A577" s="716"/>
      <c r="B577" s="716"/>
      <c r="C577" s="784"/>
      <c r="D577" s="716"/>
    </row>
    <row r="578" spans="1:4">
      <c r="A578" s="716"/>
      <c r="B578" s="716"/>
      <c r="C578" s="784"/>
      <c r="D578" s="716"/>
    </row>
    <row r="579" spans="1:4">
      <c r="A579" s="716"/>
      <c r="B579" s="716"/>
      <c r="C579" s="784"/>
      <c r="D579" s="716"/>
    </row>
    <row r="580" spans="1:4">
      <c r="A580" s="716"/>
      <c r="B580" s="716"/>
      <c r="C580" s="784"/>
      <c r="D580" s="716"/>
    </row>
    <row r="581" spans="1:4">
      <c r="A581" s="716"/>
      <c r="B581" s="716"/>
      <c r="C581" s="784"/>
      <c r="D581" s="716"/>
    </row>
    <row r="582" spans="1:4">
      <c r="A582" s="716"/>
      <c r="B582" s="716"/>
      <c r="C582" s="784"/>
      <c r="D582" s="716"/>
    </row>
    <row r="583" spans="1:4">
      <c r="A583" s="716"/>
      <c r="B583" s="716"/>
      <c r="C583" s="784"/>
      <c r="D583" s="716"/>
    </row>
    <row r="584" spans="1:4">
      <c r="A584" s="716"/>
      <c r="B584" s="716"/>
      <c r="C584" s="784"/>
      <c r="D584" s="716"/>
    </row>
    <row r="585" spans="1:4">
      <c r="A585" s="716"/>
      <c r="B585" s="716"/>
      <c r="C585" s="784"/>
      <c r="D585" s="716"/>
    </row>
    <row r="586" spans="1:4">
      <c r="A586" s="716"/>
      <c r="B586" s="716"/>
      <c r="C586" s="784"/>
      <c r="D586" s="716"/>
    </row>
    <row r="587" spans="1:4">
      <c r="A587" s="716"/>
      <c r="B587" s="716"/>
      <c r="C587" s="784"/>
      <c r="D587" s="716"/>
    </row>
    <row r="588" spans="1:4">
      <c r="A588" s="716"/>
      <c r="B588" s="716"/>
      <c r="C588" s="784"/>
      <c r="D588" s="716"/>
    </row>
    <row r="589" spans="1:4">
      <c r="A589" s="716"/>
      <c r="B589" s="716"/>
      <c r="C589" s="784"/>
      <c r="D589" s="716"/>
    </row>
    <row r="590" spans="1:4">
      <c r="A590" s="716"/>
      <c r="B590" s="716"/>
      <c r="C590" s="784"/>
      <c r="D590" s="716"/>
    </row>
    <row r="591" spans="1:4">
      <c r="A591" s="716"/>
      <c r="B591" s="716"/>
      <c r="C591" s="784"/>
      <c r="D591" s="716"/>
    </row>
    <row r="592" spans="1:4">
      <c r="A592" s="716"/>
      <c r="B592" s="716"/>
      <c r="C592" s="784"/>
      <c r="D592" s="716"/>
    </row>
    <row r="593" spans="1:4">
      <c r="A593" s="716"/>
      <c r="B593" s="716"/>
      <c r="C593" s="784"/>
      <c r="D593" s="716"/>
    </row>
    <row r="594" spans="1:4">
      <c r="A594" s="716"/>
      <c r="B594" s="716"/>
      <c r="C594" s="784"/>
      <c r="D594" s="716"/>
    </row>
    <row r="595" spans="1:4">
      <c r="A595" s="716"/>
      <c r="B595" s="716"/>
      <c r="C595" s="784"/>
      <c r="D595" s="716"/>
    </row>
    <row r="596" spans="1:4">
      <c r="A596" s="716"/>
      <c r="B596" s="716"/>
      <c r="C596" s="784"/>
      <c r="D596" s="716"/>
    </row>
    <row r="597" spans="1:4">
      <c r="A597" s="716"/>
      <c r="B597" s="716"/>
      <c r="C597" s="784"/>
      <c r="D597" s="716"/>
    </row>
    <row r="598" spans="1:4">
      <c r="A598" s="716"/>
      <c r="B598" s="716"/>
      <c r="C598" s="784"/>
      <c r="D598" s="716"/>
    </row>
    <row r="599" spans="1:4">
      <c r="A599" s="716"/>
      <c r="B599" s="716"/>
      <c r="C599" s="784"/>
      <c r="D599" s="716"/>
    </row>
    <row r="600" spans="1:4">
      <c r="A600" s="716"/>
      <c r="B600" s="716"/>
      <c r="C600" s="784"/>
      <c r="D600" s="716"/>
    </row>
    <row r="601" spans="1:4">
      <c r="A601" s="716"/>
      <c r="B601" s="716"/>
      <c r="C601" s="784"/>
      <c r="D601" s="716"/>
    </row>
    <row r="602" spans="1:4">
      <c r="A602" s="716"/>
      <c r="B602" s="716"/>
      <c r="C602" s="784"/>
      <c r="D602" s="716"/>
    </row>
    <row r="603" spans="1:4">
      <c r="A603" s="716"/>
      <c r="B603" s="716"/>
      <c r="C603" s="784"/>
      <c r="D603" s="716"/>
    </row>
    <row r="604" spans="1:4">
      <c r="A604" s="716"/>
      <c r="B604" s="716"/>
      <c r="C604" s="784"/>
      <c r="D604" s="716"/>
    </row>
    <row r="605" spans="1:4">
      <c r="A605" s="716"/>
      <c r="B605" s="716"/>
      <c r="C605" s="784"/>
      <c r="D605" s="716"/>
    </row>
    <row r="606" spans="1:4">
      <c r="A606" s="716"/>
      <c r="B606" s="716"/>
      <c r="C606" s="784"/>
      <c r="D606" s="716"/>
    </row>
    <row r="607" spans="1:4">
      <c r="A607" s="716"/>
      <c r="B607" s="716"/>
      <c r="C607" s="784"/>
      <c r="D607" s="716"/>
    </row>
    <row r="608" spans="1:4">
      <c r="A608" s="716"/>
      <c r="B608" s="716"/>
      <c r="C608" s="784"/>
      <c r="D608" s="716"/>
    </row>
    <row r="609" spans="1:4">
      <c r="A609" s="716"/>
      <c r="B609" s="716"/>
      <c r="C609" s="784"/>
      <c r="D609" s="716"/>
    </row>
    <row r="610" spans="1:4">
      <c r="A610" s="716"/>
      <c r="B610" s="716"/>
      <c r="C610" s="784"/>
      <c r="D610" s="716"/>
    </row>
    <row r="611" spans="1:4">
      <c r="A611" s="716"/>
      <c r="B611" s="716"/>
      <c r="C611" s="784"/>
      <c r="D611" s="716"/>
    </row>
    <row r="612" spans="1:4">
      <c r="A612" s="716"/>
      <c r="B612" s="716"/>
      <c r="C612" s="784"/>
      <c r="D612" s="716"/>
    </row>
    <row r="613" spans="1:4">
      <c r="A613" s="716"/>
      <c r="B613" s="716"/>
      <c r="C613" s="784"/>
      <c r="D613" s="716"/>
    </row>
    <row r="614" spans="1:4">
      <c r="A614" s="716"/>
      <c r="B614" s="716"/>
      <c r="C614" s="784"/>
      <c r="D614" s="716"/>
    </row>
    <row r="615" spans="1:4">
      <c r="A615" s="716"/>
      <c r="B615" s="716"/>
      <c r="C615" s="784"/>
      <c r="D615" s="716"/>
    </row>
    <row r="616" spans="1:4">
      <c r="A616" s="716"/>
      <c r="B616" s="716"/>
      <c r="C616" s="784"/>
      <c r="D616" s="716"/>
    </row>
    <row r="617" spans="1:4">
      <c r="A617" s="716"/>
      <c r="B617" s="716"/>
      <c r="C617" s="784"/>
      <c r="D617" s="716"/>
    </row>
    <row r="618" spans="1:4">
      <c r="A618" s="716"/>
      <c r="B618" s="716"/>
      <c r="C618" s="784"/>
      <c r="D618" s="716"/>
    </row>
    <row r="619" spans="1:4">
      <c r="A619" s="716"/>
      <c r="B619" s="716"/>
      <c r="C619" s="784"/>
      <c r="D619" s="716"/>
    </row>
    <row r="620" spans="1:4">
      <c r="A620" s="716"/>
      <c r="B620" s="716"/>
      <c r="C620" s="784"/>
      <c r="D620" s="716"/>
    </row>
    <row r="621" spans="1:4">
      <c r="A621" s="716"/>
      <c r="B621" s="716"/>
      <c r="C621" s="784"/>
      <c r="D621" s="716"/>
    </row>
    <row r="622" spans="1:4">
      <c r="A622" s="716"/>
      <c r="B622" s="716"/>
      <c r="C622" s="784"/>
      <c r="D622" s="716"/>
    </row>
    <row r="623" spans="1:4">
      <c r="A623" s="716"/>
      <c r="B623" s="716"/>
      <c r="C623" s="784"/>
      <c r="D623" s="716"/>
    </row>
    <row r="624" spans="1:4">
      <c r="A624" s="716"/>
      <c r="B624" s="716"/>
      <c r="C624" s="784"/>
      <c r="D624" s="716"/>
    </row>
    <row r="625" spans="1:4">
      <c r="A625" s="716"/>
      <c r="B625" s="716"/>
      <c r="C625" s="784"/>
      <c r="D625" s="716"/>
    </row>
    <row r="626" spans="1:4">
      <c r="A626" s="716"/>
      <c r="B626" s="716"/>
      <c r="C626" s="784"/>
      <c r="D626" s="716"/>
    </row>
    <row r="627" spans="1:4">
      <c r="A627" s="716"/>
      <c r="B627" s="716"/>
      <c r="C627" s="784"/>
      <c r="D627" s="716"/>
    </row>
    <row r="628" spans="1:4">
      <c r="A628" s="716"/>
      <c r="B628" s="716"/>
      <c r="C628" s="784"/>
      <c r="D628" s="716"/>
    </row>
    <row r="629" spans="1:4">
      <c r="A629" s="716"/>
      <c r="B629" s="716"/>
      <c r="C629" s="784"/>
      <c r="D629" s="716"/>
    </row>
    <row r="630" spans="1:4">
      <c r="A630" s="716"/>
      <c r="B630" s="716"/>
      <c r="C630" s="784"/>
      <c r="D630" s="716"/>
    </row>
    <row r="631" spans="1:4">
      <c r="A631" s="716"/>
      <c r="B631" s="716"/>
      <c r="C631" s="784"/>
      <c r="D631" s="716"/>
    </row>
    <row r="632" spans="1:4">
      <c r="A632" s="716"/>
      <c r="B632" s="716"/>
      <c r="C632" s="784"/>
      <c r="D632" s="716"/>
    </row>
    <row r="633" spans="1:4">
      <c r="A633" s="716"/>
      <c r="B633" s="716"/>
      <c r="C633" s="784"/>
      <c r="D633" s="716"/>
    </row>
    <row r="634" spans="1:4">
      <c r="A634" s="716"/>
      <c r="B634" s="716"/>
      <c r="C634" s="784"/>
      <c r="D634" s="716"/>
    </row>
    <row r="635" spans="1:4">
      <c r="A635" s="716"/>
      <c r="B635" s="716"/>
      <c r="C635" s="784"/>
      <c r="D635" s="716"/>
    </row>
    <row r="636" spans="1:4">
      <c r="A636" s="716"/>
      <c r="B636" s="716"/>
      <c r="C636" s="784"/>
      <c r="D636" s="716"/>
    </row>
    <row r="637" spans="1:4">
      <c r="A637" s="716"/>
      <c r="B637" s="716"/>
      <c r="C637" s="784"/>
      <c r="D637" s="716"/>
    </row>
    <row r="638" spans="1:4">
      <c r="A638" s="716"/>
      <c r="B638" s="716"/>
      <c r="C638" s="784"/>
      <c r="D638" s="716"/>
    </row>
    <row r="639" spans="1:4">
      <c r="A639" s="716"/>
      <c r="B639" s="716"/>
      <c r="C639" s="784"/>
      <c r="D639" s="716"/>
    </row>
    <row r="640" spans="1:4">
      <c r="A640" s="716"/>
      <c r="B640" s="716"/>
      <c r="C640" s="784"/>
      <c r="D640" s="716"/>
    </row>
    <row r="641" spans="1:4">
      <c r="A641" s="716"/>
      <c r="B641" s="716"/>
      <c r="C641" s="784"/>
      <c r="D641" s="716"/>
    </row>
    <row r="642" spans="1:4">
      <c r="A642" s="716"/>
      <c r="B642" s="716"/>
      <c r="C642" s="784"/>
      <c r="D642" s="716"/>
    </row>
    <row r="643" spans="1:4">
      <c r="A643" s="716"/>
      <c r="B643" s="716"/>
      <c r="C643" s="784"/>
      <c r="D643" s="716"/>
    </row>
    <row r="644" spans="1:4">
      <c r="A644" s="716"/>
      <c r="B644" s="716"/>
      <c r="C644" s="784"/>
      <c r="D644" s="716"/>
    </row>
    <row r="645" spans="1:4">
      <c r="A645" s="716"/>
      <c r="B645" s="716"/>
      <c r="C645" s="784"/>
      <c r="D645" s="716"/>
    </row>
    <row r="646" spans="1:4">
      <c r="A646" s="716"/>
      <c r="B646" s="716"/>
      <c r="C646" s="784"/>
      <c r="D646" s="716"/>
    </row>
    <row r="647" spans="1:4">
      <c r="A647" s="716"/>
      <c r="B647" s="716"/>
      <c r="C647" s="784"/>
      <c r="D647" s="716"/>
    </row>
    <row r="648" spans="1:4">
      <c r="A648" s="716"/>
      <c r="B648" s="716"/>
      <c r="C648" s="784"/>
      <c r="D648" s="716"/>
    </row>
    <row r="649" spans="1:4">
      <c r="A649" s="716"/>
      <c r="B649" s="716"/>
      <c r="C649" s="784"/>
      <c r="D649" s="716"/>
    </row>
    <row r="650" spans="1:4">
      <c r="A650" s="716"/>
      <c r="B650" s="716"/>
      <c r="C650" s="784"/>
      <c r="D650" s="716"/>
    </row>
    <row r="651" spans="1:4">
      <c r="A651" s="716"/>
      <c r="B651" s="716"/>
      <c r="C651" s="784"/>
      <c r="D651" s="716"/>
    </row>
    <row r="652" spans="1:4">
      <c r="A652" s="716"/>
      <c r="B652" s="716"/>
      <c r="C652" s="784"/>
      <c r="D652" s="716"/>
    </row>
    <row r="653" spans="1:4">
      <c r="A653" s="716"/>
      <c r="B653" s="716"/>
      <c r="C653" s="784"/>
      <c r="D653" s="716"/>
    </row>
    <row r="654" spans="1:4">
      <c r="A654" s="716"/>
      <c r="B654" s="716"/>
      <c r="C654" s="784"/>
      <c r="D654" s="716"/>
    </row>
    <row r="655" spans="1:4">
      <c r="A655" s="716"/>
      <c r="B655" s="716"/>
      <c r="C655" s="784"/>
      <c r="D655" s="716"/>
    </row>
    <row r="656" spans="1:4">
      <c r="A656" s="716"/>
      <c r="B656" s="716"/>
      <c r="C656" s="784"/>
      <c r="D656" s="716"/>
    </row>
    <row r="657" spans="1:4">
      <c r="A657" s="716"/>
      <c r="B657" s="716"/>
      <c r="C657" s="784"/>
      <c r="D657" s="716"/>
    </row>
    <row r="658" spans="1:4">
      <c r="A658" s="716"/>
      <c r="B658" s="716"/>
      <c r="C658" s="784"/>
      <c r="D658" s="716"/>
    </row>
    <row r="659" spans="1:4">
      <c r="A659" s="716"/>
      <c r="B659" s="716"/>
      <c r="C659" s="784"/>
      <c r="D659" s="716"/>
    </row>
    <row r="660" spans="1:4">
      <c r="A660" s="716"/>
      <c r="B660" s="716"/>
      <c r="C660" s="784"/>
      <c r="D660" s="716"/>
    </row>
    <row r="661" spans="1:4">
      <c r="A661" s="716"/>
      <c r="B661" s="716"/>
      <c r="C661" s="784"/>
      <c r="D661" s="716"/>
    </row>
    <row r="662" spans="1:4">
      <c r="A662" s="716"/>
      <c r="B662" s="716"/>
      <c r="C662" s="784"/>
      <c r="D662" s="716"/>
    </row>
    <row r="663" spans="1:4">
      <c r="A663" s="716"/>
      <c r="B663" s="716"/>
      <c r="C663" s="784"/>
      <c r="D663" s="716"/>
    </row>
    <row r="664" spans="1:4">
      <c r="A664" s="716"/>
      <c r="B664" s="716"/>
      <c r="C664" s="784"/>
      <c r="D664" s="716"/>
    </row>
    <row r="665" spans="1:4">
      <c r="A665" s="716"/>
      <c r="B665" s="716"/>
      <c r="C665" s="784"/>
      <c r="D665" s="716"/>
    </row>
    <row r="666" spans="1:4">
      <c r="A666" s="716"/>
      <c r="B666" s="716"/>
      <c r="C666" s="784"/>
      <c r="D666" s="716"/>
    </row>
    <row r="667" spans="1:4">
      <c r="A667" s="716"/>
      <c r="B667" s="716"/>
      <c r="C667" s="784"/>
      <c r="D667" s="716"/>
    </row>
    <row r="668" spans="1:4">
      <c r="A668" s="716"/>
      <c r="B668" s="716"/>
      <c r="C668" s="784"/>
      <c r="D668" s="716"/>
    </row>
    <row r="669" spans="1:4">
      <c r="A669" s="716"/>
      <c r="B669" s="716"/>
      <c r="C669" s="784"/>
      <c r="D669" s="716"/>
    </row>
    <row r="670" spans="1:4">
      <c r="A670" s="716"/>
      <c r="B670" s="716"/>
      <c r="C670" s="784"/>
      <c r="D670" s="716"/>
    </row>
    <row r="671" spans="1:4">
      <c r="A671" s="716"/>
      <c r="B671" s="716"/>
      <c r="C671" s="784"/>
      <c r="D671" s="716"/>
    </row>
    <row r="672" spans="1:4">
      <c r="A672" s="716"/>
      <c r="B672" s="716"/>
      <c r="C672" s="784"/>
      <c r="D672" s="716"/>
    </row>
    <row r="673" spans="1:4">
      <c r="A673" s="716"/>
      <c r="B673" s="716"/>
      <c r="C673" s="784"/>
      <c r="D673" s="716"/>
    </row>
    <row r="674" spans="1:4">
      <c r="A674" s="716"/>
      <c r="B674" s="716"/>
      <c r="C674" s="784"/>
      <c r="D674" s="716"/>
    </row>
    <row r="675" spans="1:4">
      <c r="A675" s="716"/>
      <c r="B675" s="716"/>
      <c r="C675" s="784"/>
      <c r="D675" s="716"/>
    </row>
    <row r="676" spans="1:4">
      <c r="A676" s="716"/>
      <c r="B676" s="716"/>
      <c r="C676" s="784"/>
      <c r="D676" s="716"/>
    </row>
    <row r="677" spans="1:4">
      <c r="A677" s="716"/>
      <c r="B677" s="716"/>
      <c r="C677" s="784"/>
      <c r="D677" s="716"/>
    </row>
    <row r="678" spans="1:4">
      <c r="A678" s="716"/>
      <c r="B678" s="716"/>
      <c r="C678" s="784"/>
      <c r="D678" s="716"/>
    </row>
    <row r="679" spans="1:4">
      <c r="A679" s="716"/>
      <c r="B679" s="716"/>
      <c r="C679" s="784"/>
      <c r="D679" s="716"/>
    </row>
    <row r="680" spans="1:4">
      <c r="A680" s="716"/>
      <c r="B680" s="716"/>
      <c r="C680" s="784"/>
      <c r="D680" s="716"/>
    </row>
    <row r="681" spans="1:4">
      <c r="A681" s="716"/>
      <c r="B681" s="716"/>
      <c r="C681" s="784"/>
      <c r="D681" s="716"/>
    </row>
    <row r="682" spans="1:4">
      <c r="A682" s="716"/>
      <c r="B682" s="716"/>
      <c r="C682" s="784"/>
      <c r="D682" s="716"/>
    </row>
    <row r="683" spans="1:4">
      <c r="A683" s="716"/>
      <c r="B683" s="716"/>
      <c r="C683" s="784"/>
      <c r="D683" s="716"/>
    </row>
    <row r="684" spans="1:4">
      <c r="A684" s="716"/>
      <c r="B684" s="716"/>
      <c r="C684" s="784"/>
      <c r="D684" s="716"/>
    </row>
    <row r="685" spans="1:4">
      <c r="A685" s="716"/>
      <c r="B685" s="716"/>
      <c r="C685" s="784"/>
      <c r="D685" s="716"/>
    </row>
    <row r="686" spans="1:4">
      <c r="A686" s="716"/>
      <c r="B686" s="716"/>
      <c r="C686" s="784"/>
      <c r="D686" s="716"/>
    </row>
    <row r="687" spans="1:4">
      <c r="A687" s="716"/>
      <c r="B687" s="716"/>
      <c r="C687" s="784"/>
      <c r="D687" s="716"/>
    </row>
    <row r="688" spans="1:4">
      <c r="A688" s="716"/>
      <c r="B688" s="716"/>
      <c r="C688" s="784"/>
      <c r="D688" s="716"/>
    </row>
    <row r="689" spans="1:4">
      <c r="A689" s="716"/>
      <c r="B689" s="716"/>
      <c r="C689" s="784"/>
      <c r="D689" s="716"/>
    </row>
    <row r="690" spans="1:4">
      <c r="A690" s="716"/>
      <c r="B690" s="716"/>
      <c r="C690" s="784"/>
      <c r="D690" s="716"/>
    </row>
    <row r="691" spans="1:4">
      <c r="A691" s="716"/>
      <c r="B691" s="716"/>
      <c r="C691" s="784"/>
      <c r="D691" s="716"/>
    </row>
    <row r="692" spans="1:4">
      <c r="A692" s="716"/>
      <c r="B692" s="716"/>
      <c r="C692" s="784"/>
      <c r="D692" s="716"/>
    </row>
    <row r="693" spans="1:4">
      <c r="A693" s="716"/>
      <c r="B693" s="716"/>
      <c r="C693" s="784"/>
      <c r="D693" s="716"/>
    </row>
    <row r="694" spans="1:4">
      <c r="A694" s="716"/>
      <c r="B694" s="716"/>
      <c r="C694" s="784"/>
      <c r="D694" s="716"/>
    </row>
    <row r="695" spans="1:4">
      <c r="A695" s="716"/>
      <c r="B695" s="716"/>
      <c r="C695" s="784"/>
      <c r="D695" s="716"/>
    </row>
    <row r="696" spans="1:4">
      <c r="A696" s="716"/>
      <c r="B696" s="716"/>
      <c r="C696" s="784"/>
      <c r="D696" s="716"/>
    </row>
    <row r="697" spans="1:4">
      <c r="A697" s="716"/>
      <c r="B697" s="716"/>
      <c r="C697" s="784"/>
      <c r="D697" s="716"/>
    </row>
    <row r="698" spans="1:4">
      <c r="A698" s="716"/>
      <c r="B698" s="716"/>
      <c r="C698" s="784"/>
      <c r="D698" s="716"/>
    </row>
    <row r="699" spans="1:4">
      <c r="A699" s="716"/>
      <c r="B699" s="716"/>
      <c r="C699" s="784"/>
      <c r="D699" s="716"/>
    </row>
    <row r="700" spans="1:4">
      <c r="A700" s="716"/>
      <c r="B700" s="716"/>
      <c r="C700" s="784"/>
      <c r="D700" s="716"/>
    </row>
    <row r="701" spans="1:4">
      <c r="A701" s="716"/>
      <c r="B701" s="716"/>
      <c r="C701" s="784"/>
      <c r="D701" s="716"/>
    </row>
    <row r="702" spans="1:4">
      <c r="A702" s="716"/>
      <c r="B702" s="716"/>
      <c r="C702" s="784"/>
      <c r="D702" s="716"/>
    </row>
    <row r="703" spans="1:4">
      <c r="A703" s="716"/>
      <c r="B703" s="716"/>
      <c r="C703" s="784"/>
      <c r="D703" s="716"/>
    </row>
    <row r="704" spans="1:4">
      <c r="A704" s="716"/>
      <c r="B704" s="716"/>
      <c r="C704" s="784"/>
      <c r="D704" s="716"/>
    </row>
    <row r="705" spans="1:4">
      <c r="A705" s="716"/>
      <c r="B705" s="716"/>
      <c r="C705" s="784"/>
      <c r="D705" s="716"/>
    </row>
    <row r="706" spans="1:4">
      <c r="A706" s="716"/>
      <c r="B706" s="716"/>
      <c r="C706" s="784"/>
      <c r="D706" s="716"/>
    </row>
    <row r="707" spans="1:4">
      <c r="A707" s="716"/>
      <c r="B707" s="716"/>
      <c r="C707" s="784"/>
      <c r="D707" s="716"/>
    </row>
    <row r="708" spans="1:4">
      <c r="A708" s="716"/>
      <c r="B708" s="716"/>
      <c r="C708" s="784"/>
      <c r="D708" s="716"/>
    </row>
    <row r="709" spans="1:4">
      <c r="A709" s="716"/>
      <c r="B709" s="716"/>
      <c r="C709" s="784"/>
      <c r="D709" s="716"/>
    </row>
    <row r="710" spans="1:4">
      <c r="A710" s="716"/>
      <c r="B710" s="716"/>
      <c r="C710" s="784"/>
      <c r="D710" s="716"/>
    </row>
    <row r="711" spans="1:4">
      <c r="A711" s="716"/>
      <c r="B711" s="716"/>
      <c r="C711" s="784"/>
      <c r="D711" s="716"/>
    </row>
    <row r="712" spans="1:4">
      <c r="A712" s="716"/>
      <c r="B712" s="716"/>
      <c r="C712" s="784"/>
      <c r="D712" s="716"/>
    </row>
    <row r="713" spans="1:4">
      <c r="A713" s="716"/>
      <c r="B713" s="716"/>
      <c r="C713" s="784"/>
      <c r="D713" s="716"/>
    </row>
    <row r="714" spans="1:4">
      <c r="A714" s="716"/>
      <c r="B714" s="716"/>
      <c r="C714" s="784"/>
      <c r="D714" s="716"/>
    </row>
    <row r="715" spans="1:4">
      <c r="A715" s="716"/>
      <c r="B715" s="716"/>
      <c r="C715" s="784"/>
      <c r="D715" s="716"/>
    </row>
    <row r="716" spans="1:4">
      <c r="A716" s="716"/>
      <c r="B716" s="716"/>
      <c r="C716" s="784"/>
      <c r="D716" s="716"/>
    </row>
    <row r="717" spans="1:4">
      <c r="A717" s="716"/>
      <c r="B717" s="716"/>
      <c r="C717" s="784"/>
      <c r="D717" s="716"/>
    </row>
    <row r="718" spans="1:4">
      <c r="A718" s="716"/>
      <c r="B718" s="716"/>
      <c r="C718" s="784"/>
      <c r="D718" s="716"/>
    </row>
    <row r="719" spans="1:4">
      <c r="A719" s="716"/>
      <c r="B719" s="716"/>
      <c r="C719" s="784"/>
      <c r="D719" s="716"/>
    </row>
    <row r="720" spans="1:4">
      <c r="A720" s="716"/>
      <c r="B720" s="716"/>
      <c r="C720" s="784"/>
      <c r="D720" s="716"/>
    </row>
    <row r="721" spans="1:4">
      <c r="A721" s="716"/>
      <c r="B721" s="716"/>
      <c r="C721" s="784"/>
      <c r="D721" s="716"/>
    </row>
    <row r="722" spans="1:4">
      <c r="A722" s="716"/>
      <c r="B722" s="716"/>
      <c r="C722" s="784"/>
      <c r="D722" s="716"/>
    </row>
    <row r="723" spans="1:4">
      <c r="A723" s="716"/>
      <c r="B723" s="716"/>
      <c r="C723" s="784"/>
      <c r="D723" s="716"/>
    </row>
    <row r="724" spans="1:4">
      <c r="A724" s="716"/>
      <c r="B724" s="716"/>
      <c r="C724" s="784"/>
      <c r="D724" s="716"/>
    </row>
    <row r="725" spans="1:4">
      <c r="A725" s="716"/>
      <c r="B725" s="716"/>
      <c r="C725" s="784"/>
      <c r="D725" s="716"/>
    </row>
    <row r="726" spans="1:4">
      <c r="A726" s="716"/>
      <c r="B726" s="716"/>
      <c r="C726" s="784"/>
      <c r="D726" s="716"/>
    </row>
    <row r="727" spans="1:4">
      <c r="A727" s="716"/>
      <c r="B727" s="716"/>
      <c r="C727" s="784"/>
      <c r="D727" s="716"/>
    </row>
    <row r="728" spans="1:4">
      <c r="A728" s="716"/>
      <c r="B728" s="716"/>
      <c r="C728" s="784"/>
      <c r="D728" s="716"/>
    </row>
    <row r="729" spans="1:4">
      <c r="A729" s="716"/>
      <c r="B729" s="716"/>
      <c r="C729" s="784"/>
      <c r="D729" s="716"/>
    </row>
    <row r="730" spans="1:4">
      <c r="A730" s="716"/>
      <c r="B730" s="716"/>
      <c r="C730" s="784"/>
      <c r="D730" s="716"/>
    </row>
    <row r="731" spans="1:4">
      <c r="A731" s="716"/>
      <c r="B731" s="716"/>
      <c r="C731" s="784"/>
      <c r="D731" s="716"/>
    </row>
    <row r="732" spans="1:4">
      <c r="A732" s="716"/>
      <c r="B732" s="716"/>
      <c r="C732" s="784"/>
      <c r="D732" s="716"/>
    </row>
    <row r="733" spans="1:4">
      <c r="A733" s="716"/>
      <c r="B733" s="716"/>
      <c r="C733" s="784"/>
      <c r="D733" s="716"/>
    </row>
    <row r="734" spans="1:4">
      <c r="A734" s="716"/>
      <c r="B734" s="716"/>
      <c r="C734" s="784"/>
      <c r="D734" s="716"/>
    </row>
    <row r="735" spans="1:4">
      <c r="A735" s="716"/>
      <c r="B735" s="716"/>
      <c r="C735" s="784"/>
      <c r="D735" s="716"/>
    </row>
    <row r="736" spans="1:4">
      <c r="A736" s="716"/>
      <c r="B736" s="716"/>
      <c r="C736" s="784"/>
      <c r="D736" s="716"/>
    </row>
    <row r="737" spans="1:4">
      <c r="A737" s="716"/>
      <c r="B737" s="716"/>
      <c r="C737" s="784"/>
      <c r="D737" s="716"/>
    </row>
    <row r="738" spans="1:4">
      <c r="A738" s="716"/>
      <c r="B738" s="716"/>
      <c r="C738" s="784"/>
      <c r="D738" s="716"/>
    </row>
    <row r="739" spans="1:4">
      <c r="A739" s="716"/>
      <c r="B739" s="716"/>
      <c r="C739" s="784"/>
      <c r="D739" s="716"/>
    </row>
    <row r="740" spans="1:4">
      <c r="A740" s="716"/>
      <c r="B740" s="716"/>
      <c r="C740" s="784"/>
      <c r="D740" s="716"/>
    </row>
    <row r="741" spans="1:4">
      <c r="A741" s="716"/>
      <c r="B741" s="716"/>
      <c r="C741" s="784"/>
      <c r="D741" s="716"/>
    </row>
    <row r="742" spans="1:4">
      <c r="A742" s="716"/>
      <c r="B742" s="716"/>
      <c r="C742" s="784"/>
      <c r="D742" s="716"/>
    </row>
    <row r="743" spans="1:4">
      <c r="A743" s="716"/>
      <c r="B743" s="716"/>
      <c r="C743" s="784"/>
      <c r="D743" s="716"/>
    </row>
    <row r="744" spans="1:4">
      <c r="A744" s="716"/>
      <c r="B744" s="716"/>
      <c r="C744" s="784"/>
      <c r="D744" s="716"/>
    </row>
    <row r="745" spans="1:4">
      <c r="A745" s="716"/>
      <c r="B745" s="716"/>
      <c r="C745" s="784"/>
      <c r="D745" s="716"/>
    </row>
    <row r="746" spans="1:4">
      <c r="A746" s="716"/>
      <c r="B746" s="716"/>
      <c r="C746" s="784"/>
      <c r="D746" s="716"/>
    </row>
    <row r="747" spans="1:4">
      <c r="A747" s="716"/>
      <c r="B747" s="716"/>
      <c r="C747" s="784"/>
      <c r="D747" s="716"/>
    </row>
    <row r="748" spans="1:4">
      <c r="A748" s="716"/>
      <c r="B748" s="716"/>
      <c r="C748" s="784"/>
      <c r="D748" s="716"/>
    </row>
    <row r="749" spans="1:4">
      <c r="A749" s="716"/>
      <c r="B749" s="716"/>
      <c r="C749" s="784"/>
      <c r="D749" s="716"/>
    </row>
    <row r="750" spans="1:4">
      <c r="A750" s="716"/>
      <c r="B750" s="716"/>
      <c r="C750" s="784"/>
      <c r="D750" s="716"/>
    </row>
    <row r="751" spans="1:4">
      <c r="A751" s="716"/>
      <c r="B751" s="716"/>
      <c r="C751" s="784"/>
      <c r="D751" s="716"/>
    </row>
    <row r="752" spans="1:4">
      <c r="A752" s="716"/>
      <c r="B752" s="716"/>
      <c r="C752" s="784"/>
      <c r="D752" s="716"/>
    </row>
    <row r="753" spans="1:4">
      <c r="A753" s="716"/>
      <c r="B753" s="716"/>
      <c r="C753" s="784"/>
      <c r="D753" s="716"/>
    </row>
    <row r="754" spans="1:4">
      <c r="A754" s="716"/>
      <c r="B754" s="716"/>
      <c r="C754" s="784"/>
      <c r="D754" s="716"/>
    </row>
    <row r="755" spans="1:4">
      <c r="A755" s="716"/>
      <c r="B755" s="716"/>
      <c r="C755" s="784"/>
      <c r="D755" s="716"/>
    </row>
    <row r="756" spans="1:4">
      <c r="A756" s="716"/>
      <c r="B756" s="716"/>
      <c r="C756" s="784"/>
      <c r="D756" s="716"/>
    </row>
    <row r="757" spans="1:4">
      <c r="A757" s="716"/>
      <c r="B757" s="716"/>
      <c r="C757" s="784"/>
      <c r="D757" s="716"/>
    </row>
    <row r="758" spans="1:4">
      <c r="A758" s="716"/>
      <c r="B758" s="716"/>
      <c r="C758" s="784"/>
      <c r="D758" s="716"/>
    </row>
    <row r="759" spans="1:4">
      <c r="A759" s="716"/>
      <c r="B759" s="716"/>
      <c r="C759" s="784"/>
      <c r="D759" s="716"/>
    </row>
    <row r="760" spans="1:4">
      <c r="A760" s="716"/>
      <c r="B760" s="716"/>
      <c r="C760" s="784"/>
      <c r="D760" s="716"/>
    </row>
    <row r="761" spans="1:4">
      <c r="A761" s="716"/>
      <c r="B761" s="716"/>
      <c r="C761" s="784"/>
      <c r="D761" s="716"/>
    </row>
    <row r="762" spans="1:4">
      <c r="A762" s="716"/>
      <c r="B762" s="716"/>
      <c r="C762" s="784"/>
      <c r="D762" s="716"/>
    </row>
    <row r="763" spans="1:4">
      <c r="A763" s="716"/>
      <c r="B763" s="716"/>
      <c r="C763" s="784"/>
      <c r="D763" s="716"/>
    </row>
    <row r="764" spans="1:4">
      <c r="A764" s="716"/>
      <c r="B764" s="716"/>
      <c r="C764" s="784"/>
      <c r="D764" s="716"/>
    </row>
    <row r="765" spans="1:4">
      <c r="A765" s="716"/>
      <c r="B765" s="716"/>
      <c r="C765" s="784"/>
      <c r="D765" s="716"/>
    </row>
    <row r="766" spans="1:4">
      <c r="A766" s="716"/>
      <c r="B766" s="716"/>
      <c r="C766" s="784"/>
      <c r="D766" s="716"/>
    </row>
    <row r="767" spans="1:4">
      <c r="A767" s="716"/>
      <c r="B767" s="716"/>
      <c r="C767" s="784"/>
      <c r="D767" s="716"/>
    </row>
    <row r="768" spans="1:4">
      <c r="A768" s="716"/>
      <c r="B768" s="716"/>
      <c r="C768" s="784"/>
      <c r="D768" s="716"/>
    </row>
    <row r="769" spans="1:4">
      <c r="A769" s="716"/>
      <c r="B769" s="716"/>
      <c r="C769" s="784"/>
      <c r="D769" s="716"/>
    </row>
    <row r="770" spans="1:4">
      <c r="A770" s="716"/>
      <c r="B770" s="716"/>
      <c r="C770" s="784"/>
      <c r="D770" s="716"/>
    </row>
    <row r="771" spans="1:4">
      <c r="A771" s="716"/>
      <c r="B771" s="716"/>
      <c r="C771" s="784"/>
      <c r="D771" s="716"/>
    </row>
    <row r="772" spans="1:4">
      <c r="A772" s="716"/>
      <c r="B772" s="716"/>
      <c r="C772" s="784"/>
      <c r="D772" s="716"/>
    </row>
    <row r="773" spans="1:4">
      <c r="A773" s="716"/>
      <c r="B773" s="716"/>
      <c r="C773" s="784"/>
      <c r="D773" s="716"/>
    </row>
    <row r="774" spans="1:4">
      <c r="A774" s="716"/>
      <c r="B774" s="716"/>
      <c r="C774" s="784"/>
      <c r="D774" s="716"/>
    </row>
    <row r="775" spans="1:4">
      <c r="A775" s="716"/>
      <c r="B775" s="716"/>
      <c r="C775" s="784"/>
      <c r="D775" s="716"/>
    </row>
    <row r="776" spans="1:4">
      <c r="A776" s="716"/>
      <c r="B776" s="716"/>
      <c r="C776" s="784"/>
      <c r="D776" s="716"/>
    </row>
    <row r="777" spans="1:4">
      <c r="A777" s="716"/>
      <c r="B777" s="716"/>
      <c r="C777" s="784"/>
      <c r="D777" s="716"/>
    </row>
    <row r="778" spans="1:4">
      <c r="A778" s="716"/>
      <c r="B778" s="716"/>
      <c r="C778" s="784"/>
      <c r="D778" s="716"/>
    </row>
    <row r="779" spans="1:4">
      <c r="A779" s="716"/>
      <c r="B779" s="716"/>
      <c r="C779" s="784"/>
      <c r="D779" s="716"/>
    </row>
    <row r="780" spans="1:4">
      <c r="A780" s="716"/>
      <c r="B780" s="716"/>
      <c r="C780" s="784"/>
      <c r="D780" s="716"/>
    </row>
    <row r="781" spans="1:4">
      <c r="A781" s="716"/>
      <c r="B781" s="716"/>
      <c r="C781" s="784"/>
      <c r="D781" s="716"/>
    </row>
    <row r="782" spans="1:4">
      <c r="A782" s="716"/>
      <c r="B782" s="716"/>
      <c r="C782" s="784"/>
      <c r="D782" s="716"/>
    </row>
    <row r="783" spans="1:4">
      <c r="A783" s="716"/>
      <c r="B783" s="716"/>
      <c r="C783" s="784"/>
      <c r="D783" s="716"/>
    </row>
    <row r="784" spans="1:4">
      <c r="A784" s="716"/>
      <c r="B784" s="716"/>
      <c r="C784" s="784"/>
      <c r="D784" s="716"/>
    </row>
    <row r="785" spans="1:4">
      <c r="A785" s="716"/>
      <c r="B785" s="716"/>
      <c r="C785" s="784"/>
      <c r="D785" s="716"/>
    </row>
    <row r="786" spans="1:4">
      <c r="A786" s="716"/>
      <c r="B786" s="716"/>
      <c r="C786" s="784"/>
      <c r="D786" s="716"/>
    </row>
    <row r="787" spans="1:4">
      <c r="A787" s="716"/>
      <c r="B787" s="716"/>
      <c r="C787" s="784"/>
      <c r="D787" s="716"/>
    </row>
    <row r="788" spans="1:4">
      <c r="A788" s="716"/>
      <c r="B788" s="716"/>
      <c r="C788" s="784"/>
      <c r="D788" s="716"/>
    </row>
    <row r="789" spans="1:4">
      <c r="A789" s="716"/>
      <c r="B789" s="716"/>
      <c r="C789" s="784"/>
      <c r="D789" s="716"/>
    </row>
    <row r="790" spans="1:4">
      <c r="A790" s="716"/>
      <c r="B790" s="716"/>
      <c r="C790" s="784"/>
      <c r="D790" s="716"/>
    </row>
    <row r="791" spans="1:4">
      <c r="A791" s="716"/>
      <c r="B791" s="716"/>
      <c r="C791" s="784"/>
      <c r="D791" s="716"/>
    </row>
    <row r="792" spans="1:4">
      <c r="A792" s="716"/>
      <c r="B792" s="716"/>
      <c r="C792" s="784"/>
      <c r="D792" s="716"/>
    </row>
    <row r="793" spans="1:4">
      <c r="A793" s="716"/>
      <c r="B793" s="716"/>
      <c r="C793" s="784"/>
      <c r="D793" s="716"/>
    </row>
    <row r="794" spans="1:4">
      <c r="A794" s="716"/>
      <c r="B794" s="716"/>
      <c r="C794" s="784"/>
      <c r="D794" s="716"/>
    </row>
    <row r="795" spans="1:4">
      <c r="A795" s="716"/>
      <c r="B795" s="716"/>
      <c r="C795" s="784"/>
      <c r="D795" s="716"/>
    </row>
    <row r="796" spans="1:4">
      <c r="A796" s="716"/>
      <c r="B796" s="716"/>
      <c r="C796" s="784"/>
      <c r="D796" s="716"/>
    </row>
    <row r="797" spans="1:4">
      <c r="A797" s="716"/>
      <c r="B797" s="716"/>
      <c r="C797" s="784"/>
      <c r="D797" s="716"/>
    </row>
    <row r="798" spans="1:4">
      <c r="A798" s="716"/>
      <c r="B798" s="716"/>
      <c r="C798" s="784"/>
      <c r="D798" s="716"/>
    </row>
    <row r="799" spans="1:4">
      <c r="A799" s="716"/>
      <c r="B799" s="716"/>
      <c r="C799" s="784"/>
      <c r="D799" s="716"/>
    </row>
    <row r="800" spans="1:4">
      <c r="A800" s="716"/>
      <c r="B800" s="716"/>
      <c r="C800" s="784"/>
      <c r="D800" s="716"/>
    </row>
    <row r="801" spans="1:4">
      <c r="A801" s="716"/>
      <c r="B801" s="716"/>
      <c r="C801" s="784"/>
      <c r="D801" s="716"/>
    </row>
    <row r="802" spans="1:4">
      <c r="A802" s="716"/>
      <c r="B802" s="716"/>
      <c r="C802" s="784"/>
      <c r="D802" s="716"/>
    </row>
    <row r="803" spans="1:4">
      <c r="A803" s="716"/>
      <c r="B803" s="716"/>
      <c r="C803" s="784"/>
      <c r="D803" s="716"/>
    </row>
    <row r="804" spans="1:4">
      <c r="A804" s="716"/>
      <c r="B804" s="716"/>
      <c r="C804" s="784"/>
      <c r="D804" s="716"/>
    </row>
    <row r="805" spans="1:4">
      <c r="A805" s="716"/>
      <c r="B805" s="716"/>
      <c r="C805" s="784"/>
      <c r="D805" s="716"/>
    </row>
    <row r="806" spans="1:4">
      <c r="A806" s="716"/>
      <c r="B806" s="716"/>
      <c r="C806" s="784"/>
      <c r="D806" s="716"/>
    </row>
    <row r="807" spans="1:4">
      <c r="A807" s="716"/>
      <c r="B807" s="716"/>
      <c r="C807" s="784"/>
      <c r="D807" s="716"/>
    </row>
    <row r="808" spans="1:4">
      <c r="A808" s="716"/>
      <c r="B808" s="716"/>
      <c r="C808" s="784"/>
      <c r="D808" s="716"/>
    </row>
    <row r="809" spans="1:4">
      <c r="A809" s="716"/>
      <c r="B809" s="716"/>
      <c r="C809" s="784"/>
      <c r="D809" s="716"/>
    </row>
    <row r="810" spans="1:4">
      <c r="A810" s="716"/>
      <c r="B810" s="716"/>
      <c r="C810" s="784"/>
      <c r="D810" s="716"/>
    </row>
    <row r="811" spans="1:4">
      <c r="A811" s="716"/>
      <c r="B811" s="716"/>
      <c r="C811" s="784"/>
      <c r="D811" s="716"/>
    </row>
    <row r="812" spans="1:4">
      <c r="A812" s="716"/>
      <c r="B812" s="716"/>
      <c r="C812" s="784"/>
      <c r="D812" s="716"/>
    </row>
    <row r="813" spans="1:4">
      <c r="A813" s="716"/>
      <c r="B813" s="716"/>
      <c r="C813" s="784"/>
      <c r="D813" s="716"/>
    </row>
    <row r="814" spans="1:4">
      <c r="A814" s="716"/>
      <c r="B814" s="716"/>
      <c r="C814" s="784"/>
      <c r="D814" s="716"/>
    </row>
    <row r="815" spans="1:4">
      <c r="A815" s="716"/>
      <c r="B815" s="716"/>
      <c r="C815" s="784"/>
      <c r="D815" s="716"/>
    </row>
    <row r="816" spans="1:4">
      <c r="A816" s="716"/>
      <c r="B816" s="716"/>
      <c r="C816" s="784"/>
      <c r="D816" s="716"/>
    </row>
    <row r="817" spans="1:4">
      <c r="A817" s="716"/>
      <c r="B817" s="716"/>
      <c r="C817" s="784"/>
      <c r="D817" s="716"/>
    </row>
    <row r="818" spans="1:4">
      <c r="A818" s="716"/>
      <c r="B818" s="716"/>
      <c r="C818" s="784"/>
      <c r="D818" s="716"/>
    </row>
    <row r="819" spans="1:4">
      <c r="A819" s="716"/>
      <c r="B819" s="716"/>
      <c r="C819" s="784"/>
      <c r="D819" s="716"/>
    </row>
    <row r="820" spans="1:4">
      <c r="A820" s="716"/>
      <c r="B820" s="716"/>
      <c r="C820" s="784"/>
      <c r="D820" s="716"/>
    </row>
    <row r="821" spans="1:4">
      <c r="A821" s="716"/>
      <c r="B821" s="716"/>
      <c r="C821" s="784"/>
      <c r="D821" s="716"/>
    </row>
    <row r="822" spans="1:4">
      <c r="A822" s="716"/>
      <c r="B822" s="716"/>
      <c r="C822" s="784"/>
      <c r="D822" s="716"/>
    </row>
    <row r="823" spans="1:4">
      <c r="A823" s="716"/>
      <c r="B823" s="716"/>
      <c r="C823" s="784"/>
      <c r="D823" s="716"/>
    </row>
    <row r="824" spans="1:4">
      <c r="A824" s="716"/>
      <c r="B824" s="716"/>
      <c r="C824" s="784"/>
      <c r="D824" s="716"/>
    </row>
    <row r="825" spans="1:4">
      <c r="A825" s="716"/>
      <c r="B825" s="716"/>
      <c r="C825" s="784"/>
      <c r="D825" s="716"/>
    </row>
    <row r="826" spans="1:4">
      <c r="A826" s="716"/>
      <c r="B826" s="716"/>
      <c r="C826" s="784"/>
      <c r="D826" s="716"/>
    </row>
    <row r="827" spans="1:4">
      <c r="A827" s="716"/>
      <c r="B827" s="716"/>
      <c r="C827" s="784"/>
      <c r="D827" s="716"/>
    </row>
    <row r="828" spans="1:4">
      <c r="A828" s="716"/>
      <c r="B828" s="716"/>
      <c r="C828" s="784"/>
      <c r="D828" s="716"/>
    </row>
    <row r="829" spans="1:4">
      <c r="A829" s="716"/>
      <c r="B829" s="716"/>
      <c r="C829" s="784"/>
      <c r="D829" s="716"/>
    </row>
    <row r="830" spans="1:4">
      <c r="A830" s="716"/>
      <c r="B830" s="716"/>
      <c r="C830" s="784"/>
      <c r="D830" s="716"/>
    </row>
    <row r="831" spans="1:4">
      <c r="A831" s="716"/>
      <c r="B831" s="716"/>
      <c r="C831" s="784"/>
      <c r="D831" s="716"/>
    </row>
    <row r="832" spans="1:4">
      <c r="A832" s="716"/>
      <c r="B832" s="716"/>
      <c r="C832" s="784"/>
      <c r="D832" s="716"/>
    </row>
    <row r="833" spans="1:4">
      <c r="A833" s="716"/>
      <c r="B833" s="716"/>
      <c r="C833" s="784"/>
      <c r="D833" s="716"/>
    </row>
    <row r="834" spans="1:4">
      <c r="A834" s="716"/>
      <c r="B834" s="716"/>
      <c r="C834" s="784"/>
      <c r="D834" s="716"/>
    </row>
    <row r="835" spans="1:4">
      <c r="A835" s="716"/>
      <c r="B835" s="716"/>
      <c r="C835" s="784"/>
      <c r="D835" s="716"/>
    </row>
    <row r="836" spans="1:4">
      <c r="A836" s="716"/>
      <c r="B836" s="716"/>
      <c r="C836" s="784"/>
      <c r="D836" s="716"/>
    </row>
    <row r="837" spans="1:4">
      <c r="A837" s="716"/>
      <c r="B837" s="716"/>
      <c r="C837" s="784"/>
      <c r="D837" s="716"/>
    </row>
    <row r="838" spans="1:4">
      <c r="A838" s="716"/>
      <c r="B838" s="716"/>
      <c r="C838" s="784"/>
      <c r="D838" s="716"/>
    </row>
    <row r="839" spans="1:4">
      <c r="A839" s="716"/>
      <c r="B839" s="716"/>
      <c r="C839" s="784"/>
      <c r="D839" s="716"/>
    </row>
    <row r="840" spans="1:4">
      <c r="A840" s="716"/>
      <c r="B840" s="716"/>
      <c r="C840" s="784"/>
      <c r="D840" s="716"/>
    </row>
    <row r="841" spans="1:4">
      <c r="A841" s="716"/>
      <c r="B841" s="716"/>
      <c r="C841" s="784"/>
      <c r="D841" s="716"/>
    </row>
    <row r="842" spans="1:4">
      <c r="A842" s="716"/>
      <c r="B842" s="716"/>
      <c r="C842" s="784"/>
      <c r="D842" s="716"/>
    </row>
    <row r="843" spans="1:4">
      <c r="A843" s="716"/>
      <c r="B843" s="716"/>
      <c r="C843" s="784"/>
      <c r="D843" s="716"/>
    </row>
    <row r="844" spans="1:4">
      <c r="A844" s="716"/>
      <c r="B844" s="716"/>
      <c r="C844" s="784"/>
      <c r="D844" s="716"/>
    </row>
    <row r="845" spans="1:4">
      <c r="A845" s="716"/>
      <c r="B845" s="716"/>
      <c r="C845" s="784"/>
      <c r="D845" s="716"/>
    </row>
    <row r="846" spans="1:4">
      <c r="A846" s="716"/>
      <c r="B846" s="716"/>
      <c r="C846" s="784"/>
      <c r="D846" s="716"/>
    </row>
    <row r="847" spans="1:4">
      <c r="A847" s="716"/>
      <c r="B847" s="716"/>
      <c r="C847" s="784"/>
      <c r="D847" s="716"/>
    </row>
    <row r="848" spans="1:4">
      <c r="A848" s="716"/>
      <c r="B848" s="716"/>
      <c r="C848" s="784"/>
      <c r="D848" s="716"/>
    </row>
    <row r="849" spans="1:4">
      <c r="A849" s="716"/>
      <c r="B849" s="716"/>
      <c r="C849" s="784"/>
      <c r="D849" s="716"/>
    </row>
    <row r="850" spans="1:4">
      <c r="A850" s="716"/>
      <c r="B850" s="716"/>
      <c r="C850" s="784"/>
      <c r="D850" s="716"/>
    </row>
    <row r="851" spans="1:4">
      <c r="A851" s="716"/>
      <c r="B851" s="716"/>
      <c r="C851" s="784"/>
      <c r="D851" s="716"/>
    </row>
    <row r="852" spans="1:4">
      <c r="A852" s="716"/>
      <c r="B852" s="716"/>
      <c r="C852" s="784"/>
      <c r="D852" s="716"/>
    </row>
    <row r="853" spans="1:4">
      <c r="A853" s="716"/>
      <c r="B853" s="716"/>
      <c r="C853" s="784"/>
      <c r="D853" s="716"/>
    </row>
    <row r="854" spans="1:4">
      <c r="A854" s="716"/>
      <c r="B854" s="716"/>
      <c r="C854" s="784"/>
      <c r="D854" s="716"/>
    </row>
    <row r="855" spans="1:4">
      <c r="A855" s="716"/>
      <c r="B855" s="716"/>
      <c r="C855" s="784"/>
      <c r="D855" s="716"/>
    </row>
    <row r="856" spans="1:4">
      <c r="A856" s="716"/>
      <c r="B856" s="716"/>
      <c r="C856" s="784"/>
      <c r="D856" s="716"/>
    </row>
    <row r="857" spans="1:4">
      <c r="A857" s="716"/>
      <c r="B857" s="716"/>
      <c r="C857" s="784"/>
      <c r="D857" s="716"/>
    </row>
    <row r="858" spans="1:4">
      <c r="A858" s="716"/>
      <c r="B858" s="716"/>
      <c r="C858" s="784"/>
      <c r="D858" s="716"/>
    </row>
    <row r="859" spans="1:4">
      <c r="A859" s="716"/>
      <c r="B859" s="716"/>
      <c r="C859" s="784"/>
      <c r="D859" s="716"/>
    </row>
    <row r="860" spans="1:4">
      <c r="A860" s="716"/>
      <c r="B860" s="716"/>
      <c r="C860" s="784"/>
      <c r="D860" s="716"/>
    </row>
    <row r="861" spans="1:4">
      <c r="A861" s="716"/>
      <c r="B861" s="716"/>
      <c r="C861" s="784"/>
      <c r="D861" s="716"/>
    </row>
    <row r="862" spans="1:4">
      <c r="A862" s="716"/>
      <c r="B862" s="716"/>
      <c r="C862" s="784"/>
      <c r="D862" s="716"/>
    </row>
    <row r="863" spans="1:4">
      <c r="A863" s="716"/>
      <c r="B863" s="716"/>
      <c r="C863" s="784"/>
      <c r="D863" s="716"/>
    </row>
    <row r="864" spans="1:4">
      <c r="A864" s="716"/>
      <c r="B864" s="716"/>
      <c r="C864" s="784"/>
      <c r="D864" s="716"/>
    </row>
    <row r="865" spans="1:4">
      <c r="A865" s="716"/>
      <c r="B865" s="716"/>
      <c r="C865" s="784"/>
      <c r="D865" s="716"/>
    </row>
    <row r="866" spans="1:4">
      <c r="A866" s="716"/>
      <c r="B866" s="716"/>
      <c r="C866" s="784"/>
      <c r="D866" s="716"/>
    </row>
    <row r="867" spans="1:4">
      <c r="A867" s="716"/>
      <c r="B867" s="716"/>
      <c r="C867" s="784"/>
      <c r="D867" s="716"/>
    </row>
    <row r="868" spans="1:4">
      <c r="A868" s="716"/>
      <c r="B868" s="716"/>
      <c r="C868" s="784"/>
      <c r="D868" s="716"/>
    </row>
    <row r="869" spans="1:4">
      <c r="A869" s="716"/>
      <c r="B869" s="716"/>
      <c r="C869" s="784"/>
      <c r="D869" s="716"/>
    </row>
    <row r="870" spans="1:4">
      <c r="A870" s="716"/>
      <c r="B870" s="716"/>
      <c r="C870" s="784"/>
      <c r="D870" s="716"/>
    </row>
    <row r="871" spans="1:4">
      <c r="A871" s="716"/>
      <c r="B871" s="716"/>
      <c r="C871" s="784"/>
      <c r="D871" s="716"/>
    </row>
    <row r="872" spans="1:4">
      <c r="A872" s="716"/>
      <c r="B872" s="716"/>
      <c r="C872" s="784"/>
      <c r="D872" s="716"/>
    </row>
    <row r="873" spans="1:4">
      <c r="A873" s="716"/>
      <c r="B873" s="716"/>
      <c r="C873" s="784"/>
      <c r="D873" s="716"/>
    </row>
    <row r="874" spans="1:4">
      <c r="A874" s="716"/>
      <c r="B874" s="716"/>
      <c r="C874" s="784"/>
      <c r="D874" s="716"/>
    </row>
    <row r="875" spans="1:4">
      <c r="A875" s="716"/>
      <c r="B875" s="716"/>
      <c r="C875" s="784"/>
      <c r="D875" s="716"/>
    </row>
    <row r="876" spans="1:4">
      <c r="A876" s="716"/>
      <c r="B876" s="716"/>
      <c r="C876" s="784"/>
      <c r="D876" s="716"/>
    </row>
    <row r="877" spans="1:4">
      <c r="A877" s="716"/>
      <c r="B877" s="716"/>
      <c r="C877" s="784"/>
      <c r="D877" s="716"/>
    </row>
    <row r="878" spans="1:4">
      <c r="A878" s="716"/>
      <c r="B878" s="716"/>
      <c r="C878" s="784"/>
      <c r="D878" s="716"/>
    </row>
    <row r="879" spans="1:4">
      <c r="A879" s="716"/>
      <c r="B879" s="716"/>
      <c r="C879" s="784"/>
      <c r="D879" s="716"/>
    </row>
    <row r="880" spans="1:4">
      <c r="A880" s="716"/>
      <c r="B880" s="716"/>
      <c r="C880" s="784"/>
      <c r="D880" s="716"/>
    </row>
  </sheetData>
  <mergeCells count="197">
    <mergeCell ref="B334:C334"/>
    <mergeCell ref="B336:C336"/>
    <mergeCell ref="A337:C337"/>
    <mergeCell ref="A338:C338"/>
    <mergeCell ref="A339:C339"/>
    <mergeCell ref="A340:C340"/>
    <mergeCell ref="B319:C319"/>
    <mergeCell ref="B321:C321"/>
    <mergeCell ref="B324:C324"/>
    <mergeCell ref="B326:C326"/>
    <mergeCell ref="A327:A331"/>
    <mergeCell ref="B328:C328"/>
    <mergeCell ref="B329:B330"/>
    <mergeCell ref="B331:C331"/>
    <mergeCell ref="B302:C302"/>
    <mergeCell ref="B304:C304"/>
    <mergeCell ref="A306:A317"/>
    <mergeCell ref="B307:C307"/>
    <mergeCell ref="B309:C309"/>
    <mergeCell ref="B311:C311"/>
    <mergeCell ref="B313:C313"/>
    <mergeCell ref="B315:C315"/>
    <mergeCell ref="B317:C317"/>
    <mergeCell ref="B289:C289"/>
    <mergeCell ref="B291:C291"/>
    <mergeCell ref="B293:C293"/>
    <mergeCell ref="B296:C296"/>
    <mergeCell ref="B298:C298"/>
    <mergeCell ref="B300:C300"/>
    <mergeCell ref="B276:C276"/>
    <mergeCell ref="B278:C278"/>
    <mergeCell ref="A279:A286"/>
    <mergeCell ref="B280:C280"/>
    <mergeCell ref="B281:B285"/>
    <mergeCell ref="B286:C286"/>
    <mergeCell ref="B294:B295"/>
    <mergeCell ref="C240:C241"/>
    <mergeCell ref="B262:C262"/>
    <mergeCell ref="B264:C264"/>
    <mergeCell ref="B267:C267"/>
    <mergeCell ref="B269:C269"/>
    <mergeCell ref="B271:C271"/>
    <mergeCell ref="B273:C273"/>
    <mergeCell ref="B253:C253"/>
    <mergeCell ref="B254:B255"/>
    <mergeCell ref="B256:C256"/>
    <mergeCell ref="D210:D211"/>
    <mergeCell ref="B213:C213"/>
    <mergeCell ref="B214:B218"/>
    <mergeCell ref="B219:C219"/>
    <mergeCell ref="B226:C226"/>
    <mergeCell ref="B228:C228"/>
    <mergeCell ref="B230:C230"/>
    <mergeCell ref="B232:C232"/>
    <mergeCell ref="A257:A260"/>
    <mergeCell ref="B258:C258"/>
    <mergeCell ref="B260:C260"/>
    <mergeCell ref="B242:C242"/>
    <mergeCell ref="A244:A246"/>
    <mergeCell ref="B245:C245"/>
    <mergeCell ref="B246:C246"/>
    <mergeCell ref="B249:C249"/>
    <mergeCell ref="B250:C250"/>
    <mergeCell ref="A225:A242"/>
    <mergeCell ref="B234:C234"/>
    <mergeCell ref="B235:B236"/>
    <mergeCell ref="C235:C236"/>
    <mergeCell ref="B237:C237"/>
    <mergeCell ref="B239:C239"/>
    <mergeCell ref="B240:B241"/>
    <mergeCell ref="B198:C198"/>
    <mergeCell ref="B200:C200"/>
    <mergeCell ref="B201:C201"/>
    <mergeCell ref="B204:C204"/>
    <mergeCell ref="B205:B206"/>
    <mergeCell ref="C205:C206"/>
    <mergeCell ref="A179:A223"/>
    <mergeCell ref="B180:C180"/>
    <mergeCell ref="B182:C182"/>
    <mergeCell ref="B184:C184"/>
    <mergeCell ref="B185:C185"/>
    <mergeCell ref="B188:C188"/>
    <mergeCell ref="B190:C190"/>
    <mergeCell ref="B192:C192"/>
    <mergeCell ref="B194:C194"/>
    <mergeCell ref="B196:C196"/>
    <mergeCell ref="B207:C207"/>
    <mergeCell ref="A168:A177"/>
    <mergeCell ref="B169:C169"/>
    <mergeCell ref="B170:B171"/>
    <mergeCell ref="B172:C172"/>
    <mergeCell ref="B174:C174"/>
    <mergeCell ref="B175:B176"/>
    <mergeCell ref="B177:C177"/>
    <mergeCell ref="D153:D154"/>
    <mergeCell ref="D155:D156"/>
    <mergeCell ref="B159:C159"/>
    <mergeCell ref="B160:B161"/>
    <mergeCell ref="A163:A166"/>
    <mergeCell ref="B164:C164"/>
    <mergeCell ref="B166:C166"/>
    <mergeCell ref="B144:C144"/>
    <mergeCell ref="B146:C146"/>
    <mergeCell ref="B148:C148"/>
    <mergeCell ref="B150:C150"/>
    <mergeCell ref="A151:A159"/>
    <mergeCell ref="B152:C152"/>
    <mergeCell ref="B153:B158"/>
    <mergeCell ref="A131:A142"/>
    <mergeCell ref="B132:C132"/>
    <mergeCell ref="B133:B136"/>
    <mergeCell ref="C133:C135"/>
    <mergeCell ref="B137:C137"/>
    <mergeCell ref="B139:C139"/>
    <mergeCell ref="B140:B141"/>
    <mergeCell ref="B142:C142"/>
    <mergeCell ref="A122:A125"/>
    <mergeCell ref="B123:C123"/>
    <mergeCell ref="B125:C125"/>
    <mergeCell ref="A127:A130"/>
    <mergeCell ref="B128:C128"/>
    <mergeCell ref="B130:C130"/>
    <mergeCell ref="C107:C108"/>
    <mergeCell ref="B110:C110"/>
    <mergeCell ref="B112:C112"/>
    <mergeCell ref="B114:C114"/>
    <mergeCell ref="A117:A120"/>
    <mergeCell ref="B118:C118"/>
    <mergeCell ref="B120:C120"/>
    <mergeCell ref="E93:E94"/>
    <mergeCell ref="A96:A115"/>
    <mergeCell ref="B97:C97"/>
    <mergeCell ref="B98:B99"/>
    <mergeCell ref="C98:C99"/>
    <mergeCell ref="B100:C100"/>
    <mergeCell ref="B102:C102"/>
    <mergeCell ref="B104:C104"/>
    <mergeCell ref="B106:C106"/>
    <mergeCell ref="B107:B109"/>
    <mergeCell ref="A86:A94"/>
    <mergeCell ref="B87:C87"/>
    <mergeCell ref="B88:B90"/>
    <mergeCell ref="B91:C91"/>
    <mergeCell ref="B92:B94"/>
    <mergeCell ref="D93:D94"/>
    <mergeCell ref="C72:C73"/>
    <mergeCell ref="B75:C75"/>
    <mergeCell ref="B76:B78"/>
    <mergeCell ref="B80:C80"/>
    <mergeCell ref="B81:B83"/>
    <mergeCell ref="B84:C84"/>
    <mergeCell ref="A56:A84"/>
    <mergeCell ref="B57:C57"/>
    <mergeCell ref="B58:B60"/>
    <mergeCell ref="B61:C61"/>
    <mergeCell ref="B63:C63"/>
    <mergeCell ref="B65:C65"/>
    <mergeCell ref="B67:C67"/>
    <mergeCell ref="B69:C69"/>
    <mergeCell ref="B71:C71"/>
    <mergeCell ref="B72:B74"/>
    <mergeCell ref="A45:A49"/>
    <mergeCell ref="B46:C46"/>
    <mergeCell ref="B47:B48"/>
    <mergeCell ref="B49:C49"/>
    <mergeCell ref="A51:A54"/>
    <mergeCell ref="B52:C52"/>
    <mergeCell ref="B54:C54"/>
    <mergeCell ref="B32:B33"/>
    <mergeCell ref="B34:C34"/>
    <mergeCell ref="B36:C36"/>
    <mergeCell ref="B38:C38"/>
    <mergeCell ref="B40:C40"/>
    <mergeCell ref="B41:C41"/>
    <mergeCell ref="B27:B29"/>
    <mergeCell ref="D27:D29"/>
    <mergeCell ref="B31:C31"/>
    <mergeCell ref="E7:E8"/>
    <mergeCell ref="A11:A43"/>
    <mergeCell ref="B12:C12"/>
    <mergeCell ref="B13:B14"/>
    <mergeCell ref="C13:C14"/>
    <mergeCell ref="B15:C15"/>
    <mergeCell ref="B17:C17"/>
    <mergeCell ref="B18:B20"/>
    <mergeCell ref="C18:C20"/>
    <mergeCell ref="B21:C21"/>
    <mergeCell ref="B42:B43"/>
    <mergeCell ref="C1:D1"/>
    <mergeCell ref="A4:D5"/>
    <mergeCell ref="A7:A8"/>
    <mergeCell ref="B7:B8"/>
    <mergeCell ref="C7:C8"/>
    <mergeCell ref="D7:D8"/>
    <mergeCell ref="B23:C23"/>
    <mergeCell ref="B24:B25"/>
    <mergeCell ref="B26:C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  <rowBreaks count="8" manualBreakCount="8">
    <brk id="90" max="4" man="1"/>
    <brk id="115" max="4" man="1"/>
    <brk id="150" max="4" man="1"/>
    <brk id="177" max="4" man="1"/>
    <brk id="211" max="4" man="1"/>
    <brk id="286" max="4" man="1"/>
    <brk id="331" max="4" man="1"/>
    <brk id="3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L1690"/>
  <sheetViews>
    <sheetView showGridLines="0" view="pageBreakPreview" zoomScale="110" zoomScaleNormal="110" zoomScaleSheetLayoutView="110" workbookViewId="0">
      <selection activeCell="J4" sqref="J4"/>
    </sheetView>
  </sheetViews>
  <sheetFormatPr defaultRowHeight="12.75"/>
  <cols>
    <col min="1" max="1" width="7" style="514" customWidth="1"/>
    <col min="2" max="2" width="2.7109375" style="514" customWidth="1"/>
    <col min="3" max="3" width="11.42578125" style="514" customWidth="1"/>
    <col min="4" max="4" width="12.85546875" style="514" bestFit="1" customWidth="1"/>
    <col min="5" max="5" width="71.85546875" style="514" customWidth="1"/>
    <col min="6" max="6" width="14.140625" style="514" customWidth="1"/>
    <col min="7" max="7" width="4.28515625" style="514" customWidth="1"/>
    <col min="8" max="8" width="15.28515625" style="514" bestFit="1" customWidth="1"/>
    <col min="9" max="10" width="12" style="514" bestFit="1" customWidth="1"/>
    <col min="11" max="11" width="13.140625" style="514" customWidth="1"/>
    <col min="12" max="16384" width="9.140625" style="514"/>
  </cols>
  <sheetData>
    <row r="1" spans="1:6" ht="46.5" customHeight="1">
      <c r="A1" s="513"/>
      <c r="B1" s="513"/>
      <c r="C1" s="513"/>
      <c r="D1" s="513"/>
      <c r="E1" s="1272" t="s">
        <v>1112</v>
      </c>
      <c r="F1" s="1273"/>
    </row>
    <row r="2" spans="1:6" ht="17.25" customHeight="1">
      <c r="A2" s="513"/>
      <c r="B2" s="513"/>
      <c r="C2" s="513"/>
      <c r="D2" s="513"/>
      <c r="E2" s="515"/>
      <c r="F2" s="516"/>
    </row>
    <row r="3" spans="1:6" s="517" customFormat="1" ht="40.5" customHeight="1" thickBot="1">
      <c r="A3" s="1274" t="s">
        <v>577</v>
      </c>
      <c r="B3" s="1274"/>
      <c r="C3" s="1274"/>
      <c r="D3" s="1274"/>
      <c r="E3" s="1274"/>
      <c r="F3" s="1274"/>
    </row>
    <row r="4" spans="1:6" ht="42.75" customHeight="1">
      <c r="A4" s="518" t="s">
        <v>0</v>
      </c>
      <c r="B4" s="1275" t="s">
        <v>1</v>
      </c>
      <c r="C4" s="1276"/>
      <c r="D4" s="519" t="s">
        <v>5</v>
      </c>
      <c r="E4" s="519" t="s">
        <v>578</v>
      </c>
      <c r="F4" s="520" t="s">
        <v>579</v>
      </c>
    </row>
    <row r="5" spans="1:6" ht="17.100000000000001" customHeight="1" thickBot="1">
      <c r="A5" s="521" t="s">
        <v>301</v>
      </c>
      <c r="B5" s="522"/>
      <c r="C5" s="523" t="s">
        <v>302</v>
      </c>
      <c r="D5" s="524" t="s">
        <v>303</v>
      </c>
      <c r="E5" s="524" t="s">
        <v>304</v>
      </c>
      <c r="F5" s="525" t="s">
        <v>305</v>
      </c>
    </row>
    <row r="6" spans="1:6" ht="17.100000000000001" customHeight="1" thickBot="1">
      <c r="A6" s="526" t="s">
        <v>122</v>
      </c>
      <c r="B6" s="1277"/>
      <c r="C6" s="1278"/>
      <c r="D6" s="527"/>
      <c r="E6" s="528" t="s">
        <v>580</v>
      </c>
      <c r="F6" s="529">
        <f>SUM(F7,F38,F74,F106,F110,F139,F155,F166)</f>
        <v>106944973</v>
      </c>
    </row>
    <row r="7" spans="1:6" ht="17.100000000000001" customHeight="1">
      <c r="A7" s="530"/>
      <c r="B7" s="1279" t="s">
        <v>581</v>
      </c>
      <c r="C7" s="1280"/>
      <c r="D7" s="531"/>
      <c r="E7" s="532" t="s">
        <v>582</v>
      </c>
      <c r="F7" s="533">
        <f>F8</f>
        <v>9153769</v>
      </c>
    </row>
    <row r="8" spans="1:6" ht="17.100000000000001" customHeight="1">
      <c r="A8" s="530"/>
      <c r="B8" s="1281"/>
      <c r="C8" s="1282"/>
      <c r="D8" s="1285" t="s">
        <v>583</v>
      </c>
      <c r="E8" s="1286"/>
      <c r="F8" s="534">
        <f>F9+F36</f>
        <v>9153769</v>
      </c>
    </row>
    <row r="9" spans="1:6" ht="17.100000000000001" customHeight="1">
      <c r="A9" s="530"/>
      <c r="B9" s="1283"/>
      <c r="C9" s="1284"/>
      <c r="D9" s="1287" t="s">
        <v>584</v>
      </c>
      <c r="E9" s="1288"/>
      <c r="F9" s="535">
        <f>F10+F17</f>
        <v>9094069</v>
      </c>
    </row>
    <row r="10" spans="1:6" ht="17.100000000000001" customHeight="1">
      <c r="A10" s="530"/>
      <c r="B10" s="1283"/>
      <c r="C10" s="1284"/>
      <c r="D10" s="1289" t="s">
        <v>585</v>
      </c>
      <c r="E10" s="1290"/>
      <c r="F10" s="536">
        <f>SUM(F11:F15)</f>
        <v>7654909</v>
      </c>
    </row>
    <row r="11" spans="1:6" ht="17.100000000000001" customHeight="1">
      <c r="A11" s="530"/>
      <c r="B11" s="1268"/>
      <c r="C11" s="1269"/>
      <c r="D11" s="537" t="s">
        <v>527</v>
      </c>
      <c r="E11" s="538" t="s">
        <v>586</v>
      </c>
      <c r="F11" s="539">
        <v>5908844</v>
      </c>
    </row>
    <row r="12" spans="1:6" ht="17.100000000000001" customHeight="1">
      <c r="A12" s="530"/>
      <c r="B12" s="1268"/>
      <c r="C12" s="1269"/>
      <c r="D12" s="537" t="s">
        <v>587</v>
      </c>
      <c r="E12" s="538" t="s">
        <v>588</v>
      </c>
      <c r="F12" s="539">
        <v>505875</v>
      </c>
    </row>
    <row r="13" spans="1:6" ht="17.100000000000001" customHeight="1">
      <c r="A13" s="530"/>
      <c r="B13" s="1268"/>
      <c r="C13" s="1269"/>
      <c r="D13" s="537" t="s">
        <v>589</v>
      </c>
      <c r="E13" s="538" t="s">
        <v>590</v>
      </c>
      <c r="F13" s="539">
        <v>1050470</v>
      </c>
    </row>
    <row r="14" spans="1:6" ht="17.100000000000001" customHeight="1">
      <c r="A14" s="530"/>
      <c r="B14" s="1268"/>
      <c r="C14" s="1269"/>
      <c r="D14" s="537" t="s">
        <v>591</v>
      </c>
      <c r="E14" s="538" t="s">
        <v>592</v>
      </c>
      <c r="F14" s="539">
        <v>108536</v>
      </c>
    </row>
    <row r="15" spans="1:6" ht="17.100000000000001" customHeight="1">
      <c r="A15" s="530"/>
      <c r="B15" s="1268"/>
      <c r="C15" s="1269"/>
      <c r="D15" s="537" t="s">
        <v>593</v>
      </c>
      <c r="E15" s="538" t="s">
        <v>594</v>
      </c>
      <c r="F15" s="539">
        <v>81184</v>
      </c>
    </row>
    <row r="16" spans="1:6" ht="17.100000000000001" customHeight="1">
      <c r="A16" s="530"/>
      <c r="B16" s="540"/>
      <c r="C16" s="541"/>
      <c r="D16" s="1268"/>
      <c r="E16" s="1270"/>
      <c r="F16" s="1271"/>
    </row>
    <row r="17" spans="1:6" ht="17.100000000000001" customHeight="1">
      <c r="A17" s="530"/>
      <c r="B17" s="540"/>
      <c r="C17" s="541"/>
      <c r="D17" s="1266" t="s">
        <v>595</v>
      </c>
      <c r="E17" s="1267"/>
      <c r="F17" s="536">
        <f>SUM(F18:F34)</f>
        <v>1439160</v>
      </c>
    </row>
    <row r="18" spans="1:6" ht="17.100000000000001" customHeight="1">
      <c r="A18" s="530"/>
      <c r="B18" s="540"/>
      <c r="C18" s="541"/>
      <c r="D18" s="537" t="s">
        <v>596</v>
      </c>
      <c r="E18" s="538" t="s">
        <v>597</v>
      </c>
      <c r="F18" s="539">
        <v>74268</v>
      </c>
    </row>
    <row r="19" spans="1:6" ht="17.100000000000001" customHeight="1">
      <c r="A19" s="530"/>
      <c r="B19" s="1268"/>
      <c r="C19" s="1269"/>
      <c r="D19" s="537" t="s">
        <v>598</v>
      </c>
      <c r="E19" s="538" t="s">
        <v>599</v>
      </c>
      <c r="F19" s="539">
        <v>335024</v>
      </c>
    </row>
    <row r="20" spans="1:6" ht="17.100000000000001" customHeight="1">
      <c r="A20" s="530"/>
      <c r="B20" s="540"/>
      <c r="C20" s="541"/>
      <c r="D20" s="537" t="s">
        <v>600</v>
      </c>
      <c r="E20" s="538" t="s">
        <v>601</v>
      </c>
      <c r="F20" s="539">
        <v>1916</v>
      </c>
    </row>
    <row r="21" spans="1:6" ht="17.100000000000001" customHeight="1">
      <c r="A21" s="530"/>
      <c r="B21" s="1268"/>
      <c r="C21" s="1269"/>
      <c r="D21" s="537" t="s">
        <v>602</v>
      </c>
      <c r="E21" s="538" t="s">
        <v>603</v>
      </c>
      <c r="F21" s="539">
        <v>100000</v>
      </c>
    </row>
    <row r="22" spans="1:6" ht="17.100000000000001" customHeight="1">
      <c r="A22" s="530"/>
      <c r="B22" s="1268"/>
      <c r="C22" s="1269"/>
      <c r="D22" s="537" t="s">
        <v>604</v>
      </c>
      <c r="E22" s="538" t="s">
        <v>605</v>
      </c>
      <c r="F22" s="539">
        <v>40144</v>
      </c>
    </row>
    <row r="23" spans="1:6" ht="17.100000000000001" customHeight="1">
      <c r="A23" s="530"/>
      <c r="B23" s="1268"/>
      <c r="C23" s="1269"/>
      <c r="D23" s="537" t="s">
        <v>606</v>
      </c>
      <c r="E23" s="538" t="s">
        <v>607</v>
      </c>
      <c r="F23" s="539">
        <v>7965</v>
      </c>
    </row>
    <row r="24" spans="1:6" ht="17.100000000000001" customHeight="1">
      <c r="A24" s="530"/>
      <c r="B24" s="1268"/>
      <c r="C24" s="1269"/>
      <c r="D24" s="537" t="s">
        <v>406</v>
      </c>
      <c r="E24" s="538" t="s">
        <v>608</v>
      </c>
      <c r="F24" s="539">
        <v>168071</v>
      </c>
    </row>
    <row r="25" spans="1:6" ht="16.5" customHeight="1">
      <c r="A25" s="530"/>
      <c r="B25" s="1268"/>
      <c r="C25" s="1269"/>
      <c r="D25" s="537" t="s">
        <v>609</v>
      </c>
      <c r="E25" s="538" t="s">
        <v>610</v>
      </c>
      <c r="F25" s="539">
        <v>40000</v>
      </c>
    </row>
    <row r="26" spans="1:6" ht="20.100000000000001" customHeight="1">
      <c r="A26" s="530"/>
      <c r="B26" s="1268"/>
      <c r="C26" s="1269"/>
      <c r="D26" s="537" t="s">
        <v>611</v>
      </c>
      <c r="E26" s="538" t="s">
        <v>612</v>
      </c>
      <c r="F26" s="539">
        <v>322132</v>
      </c>
    </row>
    <row r="27" spans="1:6" ht="17.100000000000001" customHeight="1">
      <c r="A27" s="530"/>
      <c r="B27" s="1268"/>
      <c r="C27" s="1269"/>
      <c r="D27" s="537" t="s">
        <v>613</v>
      </c>
      <c r="E27" s="538" t="s">
        <v>614</v>
      </c>
      <c r="F27" s="539">
        <v>180000</v>
      </c>
    </row>
    <row r="28" spans="1:6" ht="17.100000000000001" customHeight="1">
      <c r="A28" s="530"/>
      <c r="B28" s="1268"/>
      <c r="C28" s="1269"/>
      <c r="D28" s="537" t="s">
        <v>615</v>
      </c>
      <c r="E28" s="538" t="s">
        <v>616</v>
      </c>
      <c r="F28" s="539">
        <v>38000</v>
      </c>
    </row>
    <row r="29" spans="1:6" ht="17.100000000000001" customHeight="1">
      <c r="A29" s="530"/>
      <c r="B29" s="1268"/>
      <c r="C29" s="1269"/>
      <c r="D29" s="537" t="s">
        <v>617</v>
      </c>
      <c r="E29" s="538" t="s">
        <v>618</v>
      </c>
      <c r="F29" s="539">
        <v>114644</v>
      </c>
    </row>
    <row r="30" spans="1:6" ht="17.100000000000001" customHeight="1">
      <c r="A30" s="530"/>
      <c r="B30" s="1268"/>
      <c r="C30" s="1269"/>
      <c r="D30" s="537" t="s">
        <v>619</v>
      </c>
      <c r="E30" s="538" t="s">
        <v>620</v>
      </c>
      <c r="F30" s="539">
        <v>2862</v>
      </c>
    </row>
    <row r="31" spans="1:6" ht="17.100000000000001" customHeight="1">
      <c r="A31" s="530"/>
      <c r="B31" s="540"/>
      <c r="C31" s="541"/>
      <c r="D31" s="537" t="s">
        <v>621</v>
      </c>
      <c r="E31" s="538" t="s">
        <v>622</v>
      </c>
      <c r="F31" s="539">
        <v>3500</v>
      </c>
    </row>
    <row r="32" spans="1:6" ht="17.100000000000001" customHeight="1">
      <c r="A32" s="530"/>
      <c r="B32" s="1268"/>
      <c r="C32" s="1269"/>
      <c r="D32" s="537" t="s">
        <v>623</v>
      </c>
      <c r="E32" s="538" t="s">
        <v>624</v>
      </c>
      <c r="F32" s="539">
        <v>629</v>
      </c>
    </row>
    <row r="33" spans="1:6" ht="17.100000000000001" customHeight="1">
      <c r="A33" s="530"/>
      <c r="B33" s="540"/>
      <c r="C33" s="541"/>
      <c r="D33" s="537" t="s">
        <v>625</v>
      </c>
      <c r="E33" s="538" t="s">
        <v>626</v>
      </c>
      <c r="F33" s="539">
        <v>5</v>
      </c>
    </row>
    <row r="34" spans="1:6" ht="17.100000000000001" customHeight="1">
      <c r="A34" s="530"/>
      <c r="B34" s="1268"/>
      <c r="C34" s="1269"/>
      <c r="D34" s="537" t="s">
        <v>627</v>
      </c>
      <c r="E34" s="538" t="s">
        <v>628</v>
      </c>
      <c r="F34" s="539">
        <v>10000</v>
      </c>
    </row>
    <row r="35" spans="1:6" ht="17.100000000000001" customHeight="1">
      <c r="A35" s="530"/>
      <c r="B35" s="540"/>
      <c r="C35" s="541"/>
      <c r="D35" s="1268"/>
      <c r="E35" s="1270"/>
      <c r="F35" s="1271"/>
    </row>
    <row r="36" spans="1:6" ht="17.100000000000001" customHeight="1">
      <c r="A36" s="530"/>
      <c r="B36" s="540"/>
      <c r="C36" s="541"/>
      <c r="D36" s="1293" t="s">
        <v>629</v>
      </c>
      <c r="E36" s="1294"/>
      <c r="F36" s="539">
        <f>F37</f>
        <v>59700</v>
      </c>
    </row>
    <row r="37" spans="1:6" ht="17.100000000000001" customHeight="1">
      <c r="A37" s="530"/>
      <c r="B37" s="540"/>
      <c r="C37" s="541"/>
      <c r="D37" s="537" t="s">
        <v>630</v>
      </c>
      <c r="E37" s="538" t="s">
        <v>631</v>
      </c>
      <c r="F37" s="539">
        <v>59700</v>
      </c>
    </row>
    <row r="38" spans="1:6" ht="17.100000000000001" customHeight="1">
      <c r="A38" s="530"/>
      <c r="B38" s="1295" t="s">
        <v>632</v>
      </c>
      <c r="C38" s="1296"/>
      <c r="D38" s="542"/>
      <c r="E38" s="543" t="s">
        <v>633</v>
      </c>
      <c r="F38" s="544">
        <f>F39+F71</f>
        <v>11270816</v>
      </c>
    </row>
    <row r="39" spans="1:6" ht="17.100000000000001" customHeight="1">
      <c r="A39" s="530"/>
      <c r="B39" s="545"/>
      <c r="C39" s="546"/>
      <c r="D39" s="1285" t="s">
        <v>583</v>
      </c>
      <c r="E39" s="1286"/>
      <c r="F39" s="534">
        <f>F40+F68</f>
        <v>10920816</v>
      </c>
    </row>
    <row r="40" spans="1:6" ht="17.100000000000001" customHeight="1">
      <c r="A40" s="530"/>
      <c r="B40" s="540"/>
      <c r="C40" s="541"/>
      <c r="D40" s="1287" t="s">
        <v>584</v>
      </c>
      <c r="E40" s="1291"/>
      <c r="F40" s="539">
        <f>F41+F48</f>
        <v>10900700</v>
      </c>
    </row>
    <row r="41" spans="1:6" ht="17.100000000000001" customHeight="1">
      <c r="A41" s="530"/>
      <c r="B41" s="540"/>
      <c r="C41" s="541"/>
      <c r="D41" s="1289" t="s">
        <v>585</v>
      </c>
      <c r="E41" s="1292"/>
      <c r="F41" s="539">
        <f>SUM(F42:F46)</f>
        <v>9823618</v>
      </c>
    </row>
    <row r="42" spans="1:6" ht="17.100000000000001" customHeight="1">
      <c r="A42" s="530"/>
      <c r="B42" s="1268"/>
      <c r="C42" s="1269"/>
      <c r="D42" s="537" t="s">
        <v>527</v>
      </c>
      <c r="E42" s="538" t="s">
        <v>586</v>
      </c>
      <c r="F42" s="539">
        <v>7686090</v>
      </c>
    </row>
    <row r="43" spans="1:6" ht="17.100000000000001" customHeight="1">
      <c r="A43" s="530"/>
      <c r="B43" s="1268"/>
      <c r="C43" s="1269"/>
      <c r="D43" s="537" t="s">
        <v>587</v>
      </c>
      <c r="E43" s="538" t="s">
        <v>588</v>
      </c>
      <c r="F43" s="539">
        <v>617385</v>
      </c>
    </row>
    <row r="44" spans="1:6" ht="17.100000000000001" customHeight="1">
      <c r="A44" s="530"/>
      <c r="B44" s="1268"/>
      <c r="C44" s="1269"/>
      <c r="D44" s="537" t="s">
        <v>589</v>
      </c>
      <c r="E44" s="538" t="s">
        <v>590</v>
      </c>
      <c r="F44" s="539">
        <v>1357610</v>
      </c>
    </row>
    <row r="45" spans="1:6" ht="17.100000000000001" customHeight="1">
      <c r="A45" s="530"/>
      <c r="B45" s="1268"/>
      <c r="C45" s="1269"/>
      <c r="D45" s="537" t="s">
        <v>591</v>
      </c>
      <c r="E45" s="538" t="s">
        <v>592</v>
      </c>
      <c r="F45" s="539">
        <v>126033</v>
      </c>
    </row>
    <row r="46" spans="1:6" ht="17.100000000000001" customHeight="1">
      <c r="A46" s="530"/>
      <c r="B46" s="1268"/>
      <c r="C46" s="1269"/>
      <c r="D46" s="537" t="s">
        <v>593</v>
      </c>
      <c r="E46" s="538" t="s">
        <v>594</v>
      </c>
      <c r="F46" s="539">
        <v>36500</v>
      </c>
    </row>
    <row r="47" spans="1:6" ht="17.100000000000001" customHeight="1">
      <c r="A47" s="530"/>
      <c r="B47" s="540"/>
      <c r="C47" s="541"/>
      <c r="D47" s="1268"/>
      <c r="E47" s="1270"/>
      <c r="F47" s="1271"/>
    </row>
    <row r="48" spans="1:6" ht="17.100000000000001" customHeight="1">
      <c r="A48" s="530"/>
      <c r="B48" s="540"/>
      <c r="C48" s="541"/>
      <c r="D48" s="1266" t="s">
        <v>595</v>
      </c>
      <c r="E48" s="1267"/>
      <c r="F48" s="539">
        <f>SUM(F49:F66)</f>
        <v>1077082</v>
      </c>
    </row>
    <row r="49" spans="1:6" ht="17.100000000000001" customHeight="1">
      <c r="A49" s="530"/>
      <c r="B49" s="540"/>
      <c r="C49" s="541"/>
      <c r="D49" s="537" t="s">
        <v>596</v>
      </c>
      <c r="E49" s="538" t="s">
        <v>597</v>
      </c>
      <c r="F49" s="539">
        <v>60000</v>
      </c>
    </row>
    <row r="50" spans="1:6" ht="17.100000000000001" customHeight="1">
      <c r="A50" s="530"/>
      <c r="B50" s="1268"/>
      <c r="C50" s="1269"/>
      <c r="D50" s="537" t="s">
        <v>598</v>
      </c>
      <c r="E50" s="538" t="s">
        <v>599</v>
      </c>
      <c r="F50" s="539">
        <v>207500</v>
      </c>
    </row>
    <row r="51" spans="1:6" ht="17.100000000000001" customHeight="1">
      <c r="A51" s="530"/>
      <c r="B51" s="540"/>
      <c r="C51" s="541"/>
      <c r="D51" s="537" t="s">
        <v>600</v>
      </c>
      <c r="E51" s="538" t="s">
        <v>601</v>
      </c>
      <c r="F51" s="539">
        <v>2000</v>
      </c>
    </row>
    <row r="52" spans="1:6" ht="17.100000000000001" customHeight="1">
      <c r="A52" s="530"/>
      <c r="B52" s="1268"/>
      <c r="C52" s="1269"/>
      <c r="D52" s="537" t="s">
        <v>602</v>
      </c>
      <c r="E52" s="538" t="s">
        <v>603</v>
      </c>
      <c r="F52" s="539">
        <v>176000</v>
      </c>
    </row>
    <row r="53" spans="1:6" ht="17.100000000000001" customHeight="1">
      <c r="A53" s="530"/>
      <c r="B53" s="1268"/>
      <c r="C53" s="1269"/>
      <c r="D53" s="537" t="s">
        <v>604</v>
      </c>
      <c r="E53" s="538" t="s">
        <v>605</v>
      </c>
      <c r="F53" s="539">
        <v>50000</v>
      </c>
    </row>
    <row r="54" spans="1:6" ht="17.100000000000001" customHeight="1">
      <c r="A54" s="530"/>
      <c r="B54" s="1268"/>
      <c r="C54" s="1269"/>
      <c r="D54" s="537" t="s">
        <v>606</v>
      </c>
      <c r="E54" s="538" t="s">
        <v>607</v>
      </c>
      <c r="F54" s="539">
        <v>6740</v>
      </c>
    </row>
    <row r="55" spans="1:6" ht="17.100000000000001" customHeight="1">
      <c r="A55" s="530"/>
      <c r="B55" s="1268"/>
      <c r="C55" s="1269"/>
      <c r="D55" s="537" t="s">
        <v>406</v>
      </c>
      <c r="E55" s="538" t="s">
        <v>608</v>
      </c>
      <c r="F55" s="539">
        <v>208400</v>
      </c>
    </row>
    <row r="56" spans="1:6" ht="16.5" customHeight="1">
      <c r="A56" s="530"/>
      <c r="B56" s="1268"/>
      <c r="C56" s="1269"/>
      <c r="D56" s="537" t="s">
        <v>609</v>
      </c>
      <c r="E56" s="538" t="s">
        <v>610</v>
      </c>
      <c r="F56" s="539">
        <v>51000</v>
      </c>
    </row>
    <row r="57" spans="1:6" ht="16.5" customHeight="1">
      <c r="A57" s="530"/>
      <c r="B57" s="1268"/>
      <c r="C57" s="1269"/>
      <c r="D57" s="537" t="s">
        <v>611</v>
      </c>
      <c r="E57" s="538" t="s">
        <v>612</v>
      </c>
      <c r="F57" s="539">
        <v>36000</v>
      </c>
    </row>
    <row r="58" spans="1:6" ht="17.100000000000001" customHeight="1">
      <c r="A58" s="530"/>
      <c r="B58" s="1268"/>
      <c r="C58" s="1269"/>
      <c r="D58" s="537" t="s">
        <v>613</v>
      </c>
      <c r="E58" s="538" t="s">
        <v>614</v>
      </c>
      <c r="F58" s="539">
        <v>10000</v>
      </c>
    </row>
    <row r="59" spans="1:6" ht="17.100000000000001" customHeight="1">
      <c r="A59" s="530"/>
      <c r="B59" s="1268"/>
      <c r="C59" s="1269"/>
      <c r="D59" s="537" t="s">
        <v>615</v>
      </c>
      <c r="E59" s="538" t="s">
        <v>616</v>
      </c>
      <c r="F59" s="539">
        <v>29382</v>
      </c>
    </row>
    <row r="60" spans="1:6" ht="17.100000000000001" customHeight="1">
      <c r="A60" s="530"/>
      <c r="B60" s="1268"/>
      <c r="C60" s="1269"/>
      <c r="D60" s="537" t="s">
        <v>617</v>
      </c>
      <c r="E60" s="538" t="s">
        <v>618</v>
      </c>
      <c r="F60" s="539">
        <v>164290</v>
      </c>
    </row>
    <row r="61" spans="1:6" ht="17.100000000000001" customHeight="1">
      <c r="A61" s="530"/>
      <c r="B61" s="1268"/>
      <c r="C61" s="1269"/>
      <c r="D61" s="537" t="s">
        <v>619</v>
      </c>
      <c r="E61" s="538" t="s">
        <v>620</v>
      </c>
      <c r="F61" s="539">
        <v>31000</v>
      </c>
    </row>
    <row r="62" spans="1:6" ht="17.100000000000001" customHeight="1">
      <c r="A62" s="530"/>
      <c r="B62" s="1268"/>
      <c r="C62" s="1269"/>
      <c r="D62" s="537" t="s">
        <v>621</v>
      </c>
      <c r="E62" s="538" t="s">
        <v>622</v>
      </c>
      <c r="F62" s="539">
        <v>1000</v>
      </c>
    </row>
    <row r="63" spans="1:6" ht="17.100000000000001" customHeight="1">
      <c r="A63" s="530"/>
      <c r="B63" s="1268"/>
      <c r="C63" s="1269"/>
      <c r="D63" s="537" t="s">
        <v>623</v>
      </c>
      <c r="E63" s="538" t="s">
        <v>624</v>
      </c>
      <c r="F63" s="539">
        <v>30000</v>
      </c>
    </row>
    <row r="64" spans="1:6" ht="17.100000000000001" customHeight="1">
      <c r="A64" s="530"/>
      <c r="B64" s="540"/>
      <c r="C64" s="541"/>
      <c r="D64" s="537" t="s">
        <v>625</v>
      </c>
      <c r="E64" s="538" t="s">
        <v>626</v>
      </c>
      <c r="F64" s="539">
        <v>2500</v>
      </c>
    </row>
    <row r="65" spans="1:6" ht="17.100000000000001" customHeight="1">
      <c r="A65" s="530"/>
      <c r="B65" s="540"/>
      <c r="C65" s="541"/>
      <c r="D65" s="537" t="s">
        <v>634</v>
      </c>
      <c r="E65" s="538" t="s">
        <v>635</v>
      </c>
      <c r="F65" s="539">
        <v>1000</v>
      </c>
    </row>
    <row r="66" spans="1:6" ht="17.100000000000001" customHeight="1">
      <c r="A66" s="530"/>
      <c r="B66" s="1268"/>
      <c r="C66" s="1269"/>
      <c r="D66" s="537" t="s">
        <v>627</v>
      </c>
      <c r="E66" s="538" t="s">
        <v>628</v>
      </c>
      <c r="F66" s="539">
        <v>10270</v>
      </c>
    </row>
    <row r="67" spans="1:6" ht="17.100000000000001" customHeight="1">
      <c r="A67" s="530"/>
      <c r="B67" s="540"/>
      <c r="C67" s="541"/>
      <c r="D67" s="1268"/>
      <c r="E67" s="1270"/>
      <c r="F67" s="1271"/>
    </row>
    <row r="68" spans="1:6" ht="17.100000000000001" customHeight="1">
      <c r="A68" s="530"/>
      <c r="B68" s="540"/>
      <c r="C68" s="541"/>
      <c r="D68" s="1293" t="s">
        <v>629</v>
      </c>
      <c r="E68" s="1294"/>
      <c r="F68" s="539">
        <f>F69</f>
        <v>20116</v>
      </c>
    </row>
    <row r="69" spans="1:6" ht="17.100000000000001" customHeight="1">
      <c r="A69" s="530"/>
      <c r="B69" s="540"/>
      <c r="C69" s="541"/>
      <c r="D69" s="537" t="s">
        <v>630</v>
      </c>
      <c r="E69" s="538" t="s">
        <v>631</v>
      </c>
      <c r="F69" s="539">
        <v>20116</v>
      </c>
    </row>
    <row r="70" spans="1:6" ht="17.100000000000001" customHeight="1">
      <c r="A70" s="530"/>
      <c r="B70" s="540"/>
      <c r="C70" s="541"/>
      <c r="D70" s="537"/>
      <c r="E70" s="538"/>
      <c r="F70" s="539"/>
    </row>
    <row r="71" spans="1:6" ht="17.100000000000001" customHeight="1">
      <c r="A71" s="530"/>
      <c r="B71" s="540"/>
      <c r="C71" s="541"/>
      <c r="D71" s="1306" t="s">
        <v>636</v>
      </c>
      <c r="E71" s="1307"/>
      <c r="F71" s="547">
        <f>F72</f>
        <v>350000</v>
      </c>
    </row>
    <row r="72" spans="1:6" ht="17.100000000000001" customHeight="1">
      <c r="A72" s="530"/>
      <c r="B72" s="540"/>
      <c r="C72" s="541"/>
      <c r="D72" s="1293" t="s">
        <v>637</v>
      </c>
      <c r="E72" s="1294"/>
      <c r="F72" s="539">
        <f>SUM(F73:F73)</f>
        <v>350000</v>
      </c>
    </row>
    <row r="73" spans="1:6" ht="17.100000000000001" customHeight="1">
      <c r="A73" s="530"/>
      <c r="B73" s="540"/>
      <c r="C73" s="541"/>
      <c r="D73" s="537" t="s">
        <v>471</v>
      </c>
      <c r="E73" s="538" t="s">
        <v>638</v>
      </c>
      <c r="F73" s="539">
        <v>350000</v>
      </c>
    </row>
    <row r="74" spans="1:6" ht="17.100000000000001" customHeight="1">
      <c r="A74" s="530"/>
      <c r="B74" s="1295" t="s">
        <v>234</v>
      </c>
      <c r="C74" s="1296"/>
      <c r="D74" s="542"/>
      <c r="E74" s="543" t="s">
        <v>235</v>
      </c>
      <c r="F74" s="544">
        <f>F75+F100</f>
        <v>8086000</v>
      </c>
    </row>
    <row r="75" spans="1:6" ht="17.100000000000001" customHeight="1">
      <c r="A75" s="530"/>
      <c r="B75" s="1281"/>
      <c r="C75" s="1311"/>
      <c r="D75" s="1285" t="s">
        <v>583</v>
      </c>
      <c r="E75" s="1286"/>
      <c r="F75" s="534">
        <f>F76+F97</f>
        <v>5091000</v>
      </c>
    </row>
    <row r="76" spans="1:6" ht="17.100000000000001" customHeight="1">
      <c r="A76" s="530"/>
      <c r="B76" s="1283"/>
      <c r="C76" s="1312"/>
      <c r="D76" s="1287" t="s">
        <v>584</v>
      </c>
      <c r="E76" s="1291"/>
      <c r="F76" s="539">
        <f>F77+F83</f>
        <v>5072140</v>
      </c>
    </row>
    <row r="77" spans="1:6" ht="17.100000000000001" customHeight="1">
      <c r="A77" s="530"/>
      <c r="B77" s="1283"/>
      <c r="C77" s="1312"/>
      <c r="D77" s="1289" t="s">
        <v>585</v>
      </c>
      <c r="E77" s="1292"/>
      <c r="F77" s="539">
        <f>F78+F80+F81+F79</f>
        <v>1391310</v>
      </c>
    </row>
    <row r="78" spans="1:6" ht="17.100000000000001" customHeight="1">
      <c r="A78" s="530"/>
      <c r="B78" s="1283"/>
      <c r="C78" s="1312"/>
      <c r="D78" s="537" t="s">
        <v>527</v>
      </c>
      <c r="E78" s="538" t="s">
        <v>586</v>
      </c>
      <c r="F78" s="539">
        <v>1089200</v>
      </c>
    </row>
    <row r="79" spans="1:6" ht="17.100000000000001" customHeight="1">
      <c r="A79" s="530"/>
      <c r="B79" s="1283"/>
      <c r="C79" s="1312"/>
      <c r="D79" s="537" t="s">
        <v>587</v>
      </c>
      <c r="E79" s="538" t="s">
        <v>588</v>
      </c>
      <c r="F79" s="539">
        <v>79645</v>
      </c>
    </row>
    <row r="80" spans="1:6" ht="17.100000000000001" customHeight="1">
      <c r="A80" s="530"/>
      <c r="B80" s="1283"/>
      <c r="C80" s="1312"/>
      <c r="D80" s="537" t="s">
        <v>589</v>
      </c>
      <c r="E80" s="538" t="s">
        <v>590</v>
      </c>
      <c r="F80" s="539">
        <v>199893</v>
      </c>
    </row>
    <row r="81" spans="1:6" ht="17.100000000000001" customHeight="1">
      <c r="A81" s="530"/>
      <c r="B81" s="1283"/>
      <c r="C81" s="1312"/>
      <c r="D81" s="537" t="s">
        <v>591</v>
      </c>
      <c r="E81" s="538" t="s">
        <v>592</v>
      </c>
      <c r="F81" s="539">
        <v>22572</v>
      </c>
    </row>
    <row r="82" spans="1:6" ht="17.100000000000001" customHeight="1">
      <c r="A82" s="530"/>
      <c r="B82" s="1283"/>
      <c r="C82" s="1312"/>
      <c r="D82" s="1268"/>
      <c r="E82" s="1315"/>
      <c r="F82" s="1316"/>
    </row>
    <row r="83" spans="1:6" ht="17.100000000000001" customHeight="1">
      <c r="A83" s="530"/>
      <c r="B83" s="1283"/>
      <c r="C83" s="1312"/>
      <c r="D83" s="1317" t="s">
        <v>595</v>
      </c>
      <c r="E83" s="1267"/>
      <c r="F83" s="539">
        <f>SUM(F84:F95)</f>
        <v>3680830</v>
      </c>
    </row>
    <row r="84" spans="1:6" ht="17.100000000000001" customHeight="1">
      <c r="A84" s="530"/>
      <c r="B84" s="1283"/>
      <c r="C84" s="1312"/>
      <c r="D84" s="548" t="s">
        <v>596</v>
      </c>
      <c r="E84" s="549" t="s">
        <v>597</v>
      </c>
      <c r="F84" s="539">
        <v>24000</v>
      </c>
    </row>
    <row r="85" spans="1:6" ht="17.100000000000001" customHeight="1">
      <c r="A85" s="530"/>
      <c r="B85" s="1283"/>
      <c r="C85" s="1312"/>
      <c r="D85" s="550" t="s">
        <v>598</v>
      </c>
      <c r="E85" s="538" t="s">
        <v>599</v>
      </c>
      <c r="F85" s="539">
        <v>40000</v>
      </c>
    </row>
    <row r="86" spans="1:6" ht="17.100000000000001" customHeight="1">
      <c r="A86" s="530"/>
      <c r="B86" s="1283"/>
      <c r="C86" s="1312"/>
      <c r="D86" s="537" t="s">
        <v>602</v>
      </c>
      <c r="E86" s="538" t="s">
        <v>603</v>
      </c>
      <c r="F86" s="539">
        <v>400000</v>
      </c>
    </row>
    <row r="87" spans="1:6" ht="17.100000000000001" customHeight="1">
      <c r="A87" s="530"/>
      <c r="B87" s="1283"/>
      <c r="C87" s="1312"/>
      <c r="D87" s="537" t="s">
        <v>604</v>
      </c>
      <c r="E87" s="538" t="s">
        <v>605</v>
      </c>
      <c r="F87" s="539">
        <v>3115351</v>
      </c>
    </row>
    <row r="88" spans="1:6" ht="17.100000000000001" customHeight="1">
      <c r="A88" s="530"/>
      <c r="B88" s="1283"/>
      <c r="C88" s="1312"/>
      <c r="D88" s="537" t="s">
        <v>606</v>
      </c>
      <c r="E88" s="538" t="s">
        <v>607</v>
      </c>
      <c r="F88" s="539">
        <v>2425</v>
      </c>
    </row>
    <row r="89" spans="1:6" ht="17.100000000000001" customHeight="1">
      <c r="A89" s="530"/>
      <c r="B89" s="1283"/>
      <c r="C89" s="1312"/>
      <c r="D89" s="537" t="s">
        <v>406</v>
      </c>
      <c r="E89" s="538" t="s">
        <v>608</v>
      </c>
      <c r="F89" s="539">
        <v>52400</v>
      </c>
    </row>
    <row r="90" spans="1:6" ht="16.5" customHeight="1">
      <c r="A90" s="530"/>
      <c r="B90" s="1283"/>
      <c r="C90" s="1312"/>
      <c r="D90" s="537" t="s">
        <v>609</v>
      </c>
      <c r="E90" s="538" t="s">
        <v>610</v>
      </c>
      <c r="F90" s="539">
        <v>2141</v>
      </c>
    </row>
    <row r="91" spans="1:6" ht="16.5" customHeight="1">
      <c r="A91" s="530"/>
      <c r="B91" s="1283"/>
      <c r="C91" s="1312"/>
      <c r="D91" s="537" t="s">
        <v>613</v>
      </c>
      <c r="E91" s="538" t="s">
        <v>614</v>
      </c>
      <c r="F91" s="539">
        <v>1000</v>
      </c>
    </row>
    <row r="92" spans="1:6" ht="17.100000000000001" customHeight="1">
      <c r="A92" s="530"/>
      <c r="B92" s="1283"/>
      <c r="C92" s="1312"/>
      <c r="D92" s="537" t="s">
        <v>617</v>
      </c>
      <c r="E92" s="538" t="s">
        <v>618</v>
      </c>
      <c r="F92" s="539">
        <v>38288</v>
      </c>
    </row>
    <row r="93" spans="1:6" ht="17.100000000000001" customHeight="1">
      <c r="A93" s="530"/>
      <c r="B93" s="1283"/>
      <c r="C93" s="1312"/>
      <c r="D93" s="537" t="s">
        <v>619</v>
      </c>
      <c r="E93" s="538" t="s">
        <v>620</v>
      </c>
      <c r="F93" s="539">
        <v>1500</v>
      </c>
    </row>
    <row r="94" spans="1:6" ht="17.100000000000001" customHeight="1">
      <c r="A94" s="530"/>
      <c r="B94" s="1283"/>
      <c r="C94" s="1312"/>
      <c r="D94" s="551" t="s">
        <v>639</v>
      </c>
      <c r="E94" s="552" t="s">
        <v>640</v>
      </c>
      <c r="F94" s="553">
        <v>2500</v>
      </c>
    </row>
    <row r="95" spans="1:6" ht="17.100000000000001" customHeight="1">
      <c r="A95" s="530"/>
      <c r="B95" s="1283"/>
      <c r="C95" s="1312"/>
      <c r="D95" s="548" t="s">
        <v>627</v>
      </c>
      <c r="E95" s="538" t="s">
        <v>628</v>
      </c>
      <c r="F95" s="539">
        <v>1225</v>
      </c>
    </row>
    <row r="96" spans="1:6" ht="17.100000000000001" customHeight="1">
      <c r="A96" s="530"/>
      <c r="B96" s="1283"/>
      <c r="C96" s="1312"/>
      <c r="D96" s="1300"/>
      <c r="E96" s="1301"/>
      <c r="F96" s="1302"/>
    </row>
    <row r="97" spans="1:6" ht="17.100000000000001" customHeight="1">
      <c r="A97" s="530"/>
      <c r="B97" s="1283"/>
      <c r="C97" s="1312"/>
      <c r="D97" s="1293" t="s">
        <v>629</v>
      </c>
      <c r="E97" s="1294"/>
      <c r="F97" s="554">
        <f>F98</f>
        <v>18860</v>
      </c>
    </row>
    <row r="98" spans="1:6" ht="17.100000000000001" customHeight="1">
      <c r="A98" s="530"/>
      <c r="B98" s="1283"/>
      <c r="C98" s="1312"/>
      <c r="D98" s="550" t="s">
        <v>630</v>
      </c>
      <c r="E98" s="555" t="s">
        <v>631</v>
      </c>
      <c r="F98" s="556">
        <v>18860</v>
      </c>
    </row>
    <row r="99" spans="1:6" ht="17.100000000000001" customHeight="1">
      <c r="A99" s="530"/>
      <c r="B99" s="1283"/>
      <c r="C99" s="1312"/>
      <c r="D99" s="1303"/>
      <c r="E99" s="1304"/>
      <c r="F99" s="1305"/>
    </row>
    <row r="100" spans="1:6" ht="17.100000000000001" customHeight="1">
      <c r="A100" s="530"/>
      <c r="B100" s="1283"/>
      <c r="C100" s="1312"/>
      <c r="D100" s="1306" t="s">
        <v>636</v>
      </c>
      <c r="E100" s="1307"/>
      <c r="F100" s="547">
        <f>F101</f>
        <v>2995000</v>
      </c>
    </row>
    <row r="101" spans="1:6" ht="17.100000000000001" customHeight="1">
      <c r="A101" s="530"/>
      <c r="B101" s="1283"/>
      <c r="C101" s="1312"/>
      <c r="D101" s="1293" t="s">
        <v>637</v>
      </c>
      <c r="E101" s="1294"/>
      <c r="F101" s="539">
        <f>SUM(F102:F102)</f>
        <v>2995000</v>
      </c>
    </row>
    <row r="102" spans="1:6" ht="17.100000000000001" customHeight="1">
      <c r="A102" s="530"/>
      <c r="B102" s="1283"/>
      <c r="C102" s="1312"/>
      <c r="D102" s="537" t="s">
        <v>471</v>
      </c>
      <c r="E102" s="538" t="s">
        <v>638</v>
      </c>
      <c r="F102" s="539">
        <v>2995000</v>
      </c>
    </row>
    <row r="103" spans="1:6" ht="17.100000000000001" customHeight="1">
      <c r="A103" s="530"/>
      <c r="B103" s="1313"/>
      <c r="C103" s="1314"/>
      <c r="D103" s="1308"/>
      <c r="E103" s="1309"/>
      <c r="F103" s="1310"/>
    </row>
    <row r="104" spans="1:6" ht="17.100000000000001" customHeight="1">
      <c r="A104" s="530"/>
      <c r="B104" s="1313"/>
      <c r="C104" s="1314"/>
      <c r="D104" s="1266" t="s">
        <v>641</v>
      </c>
      <c r="E104" s="1297"/>
      <c r="F104" s="539">
        <f>F105</f>
        <v>699000</v>
      </c>
    </row>
    <row r="105" spans="1:6" ht="17.100000000000001" customHeight="1">
      <c r="A105" s="530"/>
      <c r="B105" s="1313"/>
      <c r="C105" s="1314"/>
      <c r="D105" s="557" t="s">
        <v>471</v>
      </c>
      <c r="E105" s="558" t="s">
        <v>638</v>
      </c>
      <c r="F105" s="539">
        <v>699000</v>
      </c>
    </row>
    <row r="106" spans="1:6" ht="17.100000000000001" customHeight="1">
      <c r="A106" s="530"/>
      <c r="B106" s="1295" t="s">
        <v>123</v>
      </c>
      <c r="C106" s="1296"/>
      <c r="D106" s="542"/>
      <c r="E106" s="543" t="s">
        <v>642</v>
      </c>
      <c r="F106" s="544">
        <f>F107</f>
        <v>300000</v>
      </c>
    </row>
    <row r="107" spans="1:6" ht="17.100000000000001" customHeight="1">
      <c r="A107" s="530"/>
      <c r="B107" s="1281"/>
      <c r="C107" s="1282"/>
      <c r="D107" s="1285" t="s">
        <v>583</v>
      </c>
      <c r="E107" s="1286"/>
      <c r="F107" s="534">
        <f>F108</f>
        <v>300000</v>
      </c>
    </row>
    <row r="108" spans="1:6" ht="17.100000000000001" customHeight="1">
      <c r="A108" s="530"/>
      <c r="B108" s="1283"/>
      <c r="C108" s="1284"/>
      <c r="D108" s="1287" t="s">
        <v>643</v>
      </c>
      <c r="E108" s="1291"/>
      <c r="F108" s="539">
        <f>F109</f>
        <v>300000</v>
      </c>
    </row>
    <row r="109" spans="1:6" ht="39.75" customHeight="1">
      <c r="A109" s="530"/>
      <c r="B109" s="1298"/>
      <c r="C109" s="1299"/>
      <c r="D109" s="537" t="s">
        <v>644</v>
      </c>
      <c r="E109" s="538" t="s">
        <v>645</v>
      </c>
      <c r="F109" s="539">
        <v>300000</v>
      </c>
    </row>
    <row r="110" spans="1:6" ht="17.100000000000001" customHeight="1">
      <c r="A110" s="530"/>
      <c r="B110" s="1295" t="s">
        <v>438</v>
      </c>
      <c r="C110" s="1296"/>
      <c r="D110" s="542"/>
      <c r="E110" s="543" t="s">
        <v>646</v>
      </c>
      <c r="F110" s="544">
        <f>F111</f>
        <v>5952000</v>
      </c>
    </row>
    <row r="111" spans="1:6" ht="17.100000000000001" customHeight="1">
      <c r="A111" s="530"/>
      <c r="B111" s="1320"/>
      <c r="C111" s="1321"/>
      <c r="D111" s="1285" t="s">
        <v>583</v>
      </c>
      <c r="E111" s="1286"/>
      <c r="F111" s="534">
        <f>F112</f>
        <v>5952000</v>
      </c>
    </row>
    <row r="112" spans="1:6" ht="17.100000000000001" customHeight="1">
      <c r="A112" s="530"/>
      <c r="B112" s="1322"/>
      <c r="C112" s="1323"/>
      <c r="D112" s="1287" t="s">
        <v>647</v>
      </c>
      <c r="E112" s="1291"/>
      <c r="F112" s="539">
        <f>SUM(F113:F138)</f>
        <v>5952000</v>
      </c>
    </row>
    <row r="113" spans="1:6" ht="17.100000000000001" customHeight="1">
      <c r="A113" s="530"/>
      <c r="B113" s="1322"/>
      <c r="C113" s="1323"/>
      <c r="D113" s="537" t="s">
        <v>362</v>
      </c>
      <c r="E113" s="538" t="s">
        <v>586</v>
      </c>
      <c r="F113" s="539">
        <v>1908644</v>
      </c>
    </row>
    <row r="114" spans="1:6" ht="17.100000000000001" customHeight="1">
      <c r="A114" s="530"/>
      <c r="B114" s="1322"/>
      <c r="C114" s="1323"/>
      <c r="D114" s="537" t="s">
        <v>363</v>
      </c>
      <c r="E114" s="538" t="s">
        <v>586</v>
      </c>
      <c r="F114" s="539">
        <v>1091356</v>
      </c>
    </row>
    <row r="115" spans="1:6" ht="17.100000000000001" customHeight="1">
      <c r="A115" s="530"/>
      <c r="B115" s="1322"/>
      <c r="C115" s="1323"/>
      <c r="D115" s="537" t="s">
        <v>364</v>
      </c>
      <c r="E115" s="538" t="s">
        <v>588</v>
      </c>
      <c r="F115" s="539">
        <v>159075</v>
      </c>
    </row>
    <row r="116" spans="1:6" ht="17.100000000000001" customHeight="1">
      <c r="A116" s="530"/>
      <c r="B116" s="1322"/>
      <c r="C116" s="1323"/>
      <c r="D116" s="537" t="s">
        <v>365</v>
      </c>
      <c r="E116" s="538" t="s">
        <v>588</v>
      </c>
      <c r="F116" s="539">
        <v>90925</v>
      </c>
    </row>
    <row r="117" spans="1:6" ht="17.100000000000001" customHeight="1">
      <c r="A117" s="530"/>
      <c r="B117" s="1322"/>
      <c r="C117" s="1323"/>
      <c r="D117" s="537" t="s">
        <v>334</v>
      </c>
      <c r="E117" s="538" t="s">
        <v>590</v>
      </c>
      <c r="F117" s="539">
        <v>356328</v>
      </c>
    </row>
    <row r="118" spans="1:6" ht="17.100000000000001" customHeight="1">
      <c r="A118" s="530"/>
      <c r="B118" s="1322"/>
      <c r="C118" s="1323"/>
      <c r="D118" s="537" t="s">
        <v>335</v>
      </c>
      <c r="E118" s="538" t="s">
        <v>590</v>
      </c>
      <c r="F118" s="539">
        <v>203672</v>
      </c>
    </row>
    <row r="119" spans="1:6" ht="17.100000000000001" customHeight="1">
      <c r="A119" s="530"/>
      <c r="B119" s="1322"/>
      <c r="C119" s="1323"/>
      <c r="D119" s="537" t="s">
        <v>366</v>
      </c>
      <c r="E119" s="538" t="s">
        <v>592</v>
      </c>
      <c r="F119" s="539">
        <v>50904</v>
      </c>
    </row>
    <row r="120" spans="1:6" ht="17.100000000000001" customHeight="1">
      <c r="A120" s="530"/>
      <c r="B120" s="1322"/>
      <c r="C120" s="1323"/>
      <c r="D120" s="537" t="s">
        <v>367</v>
      </c>
      <c r="E120" s="538" t="s">
        <v>592</v>
      </c>
      <c r="F120" s="539">
        <v>29096</v>
      </c>
    </row>
    <row r="121" spans="1:6" ht="17.100000000000001" customHeight="1">
      <c r="A121" s="530"/>
      <c r="B121" s="1322"/>
      <c r="C121" s="1323"/>
      <c r="D121" s="537" t="s">
        <v>336</v>
      </c>
      <c r="E121" s="538" t="s">
        <v>594</v>
      </c>
      <c r="F121" s="539">
        <v>12726</v>
      </c>
    </row>
    <row r="122" spans="1:6" ht="17.100000000000001" customHeight="1">
      <c r="A122" s="530"/>
      <c r="B122" s="1322"/>
      <c r="C122" s="1323"/>
      <c r="D122" s="537" t="s">
        <v>337</v>
      </c>
      <c r="E122" s="538" t="s">
        <v>594</v>
      </c>
      <c r="F122" s="539">
        <v>7274</v>
      </c>
    </row>
    <row r="123" spans="1:6" ht="17.100000000000001" customHeight="1">
      <c r="A123" s="530"/>
      <c r="B123" s="1322"/>
      <c r="C123" s="1323"/>
      <c r="D123" s="537" t="s">
        <v>439</v>
      </c>
      <c r="E123" s="538" t="s">
        <v>648</v>
      </c>
      <c r="F123" s="539">
        <v>190890</v>
      </c>
    </row>
    <row r="124" spans="1:6" ht="17.100000000000001" customHeight="1">
      <c r="A124" s="530"/>
      <c r="B124" s="1322"/>
      <c r="C124" s="1323"/>
      <c r="D124" s="537" t="s">
        <v>440</v>
      </c>
      <c r="E124" s="538" t="s">
        <v>648</v>
      </c>
      <c r="F124" s="539">
        <v>109110</v>
      </c>
    </row>
    <row r="125" spans="1:6" ht="17.100000000000001" customHeight="1">
      <c r="A125" s="530"/>
      <c r="B125" s="1322"/>
      <c r="C125" s="1323"/>
      <c r="D125" s="537" t="s">
        <v>339</v>
      </c>
      <c r="E125" s="538" t="s">
        <v>599</v>
      </c>
      <c r="F125" s="539">
        <v>109443</v>
      </c>
    </row>
    <row r="126" spans="1:6" ht="17.100000000000001" customHeight="1">
      <c r="A126" s="530"/>
      <c r="B126" s="1322"/>
      <c r="C126" s="1323"/>
      <c r="D126" s="537" t="s">
        <v>340</v>
      </c>
      <c r="E126" s="538" t="s">
        <v>599</v>
      </c>
      <c r="F126" s="539">
        <v>62557</v>
      </c>
    </row>
    <row r="127" spans="1:6" ht="17.100000000000001" customHeight="1">
      <c r="A127" s="530"/>
      <c r="B127" s="1322"/>
      <c r="C127" s="1323"/>
      <c r="D127" s="537" t="s">
        <v>441</v>
      </c>
      <c r="E127" s="538" t="s">
        <v>605</v>
      </c>
      <c r="F127" s="539">
        <v>1909</v>
      </c>
    </row>
    <row r="128" spans="1:6" ht="17.100000000000001" customHeight="1">
      <c r="A128" s="530"/>
      <c r="B128" s="1322"/>
      <c r="C128" s="1323"/>
      <c r="D128" s="537" t="s">
        <v>442</v>
      </c>
      <c r="E128" s="538" t="s">
        <v>605</v>
      </c>
      <c r="F128" s="539">
        <v>1091</v>
      </c>
    </row>
    <row r="129" spans="1:6" ht="17.100000000000001" customHeight="1">
      <c r="A129" s="530"/>
      <c r="B129" s="1322"/>
      <c r="C129" s="1323"/>
      <c r="D129" s="537" t="s">
        <v>341</v>
      </c>
      <c r="E129" s="538" t="s">
        <v>608</v>
      </c>
      <c r="F129" s="539">
        <v>941724</v>
      </c>
    </row>
    <row r="130" spans="1:6" ht="17.100000000000001" customHeight="1">
      <c r="A130" s="530"/>
      <c r="B130" s="1322"/>
      <c r="C130" s="1323"/>
      <c r="D130" s="537" t="s">
        <v>342</v>
      </c>
      <c r="E130" s="538" t="s">
        <v>608</v>
      </c>
      <c r="F130" s="539">
        <v>538276</v>
      </c>
    </row>
    <row r="131" spans="1:6" ht="17.100000000000001" customHeight="1">
      <c r="A131" s="530"/>
      <c r="B131" s="1322"/>
      <c r="C131" s="1323"/>
      <c r="D131" s="537" t="s">
        <v>354</v>
      </c>
      <c r="E131" s="538" t="s">
        <v>649</v>
      </c>
      <c r="F131" s="539">
        <v>1908</v>
      </c>
    </row>
    <row r="132" spans="1:6" ht="17.100000000000001" customHeight="1">
      <c r="A132" s="530"/>
      <c r="B132" s="1322"/>
      <c r="C132" s="1323"/>
      <c r="D132" s="537" t="s">
        <v>355</v>
      </c>
      <c r="E132" s="538" t="s">
        <v>649</v>
      </c>
      <c r="F132" s="539">
        <v>1092</v>
      </c>
    </row>
    <row r="133" spans="1:6" ht="17.100000000000001" customHeight="1">
      <c r="A133" s="530"/>
      <c r="B133" s="1322"/>
      <c r="C133" s="1323"/>
      <c r="D133" s="537" t="s">
        <v>345</v>
      </c>
      <c r="E133" s="538" t="s">
        <v>614</v>
      </c>
      <c r="F133" s="539">
        <v>15908</v>
      </c>
    </row>
    <row r="134" spans="1:6" ht="17.100000000000001" customHeight="1">
      <c r="A134" s="530"/>
      <c r="B134" s="1322"/>
      <c r="C134" s="1323"/>
      <c r="D134" s="537" t="s">
        <v>346</v>
      </c>
      <c r="E134" s="538" t="s">
        <v>614</v>
      </c>
      <c r="F134" s="539">
        <v>9092</v>
      </c>
    </row>
    <row r="135" spans="1:6" ht="17.100000000000001" customHeight="1">
      <c r="A135" s="530"/>
      <c r="B135" s="1322"/>
      <c r="C135" s="1323"/>
      <c r="D135" s="537" t="s">
        <v>443</v>
      </c>
      <c r="E135" s="538" t="s">
        <v>616</v>
      </c>
      <c r="F135" s="539">
        <v>9544</v>
      </c>
    </row>
    <row r="136" spans="1:6" ht="17.100000000000001" customHeight="1">
      <c r="A136" s="530"/>
      <c r="B136" s="1322"/>
      <c r="C136" s="1323"/>
      <c r="D136" s="537" t="s">
        <v>444</v>
      </c>
      <c r="E136" s="538" t="s">
        <v>616</v>
      </c>
      <c r="F136" s="539">
        <v>5456</v>
      </c>
    </row>
    <row r="137" spans="1:6" ht="17.100000000000001" customHeight="1">
      <c r="A137" s="530"/>
      <c r="B137" s="1322"/>
      <c r="C137" s="1323"/>
      <c r="D137" s="537" t="s">
        <v>378</v>
      </c>
      <c r="E137" s="538" t="s">
        <v>628</v>
      </c>
      <c r="F137" s="539">
        <v>27997</v>
      </c>
    </row>
    <row r="138" spans="1:6" ht="17.100000000000001" customHeight="1">
      <c r="A138" s="530"/>
      <c r="B138" s="1322"/>
      <c r="C138" s="1323"/>
      <c r="D138" s="537" t="s">
        <v>379</v>
      </c>
      <c r="E138" s="538" t="s">
        <v>628</v>
      </c>
      <c r="F138" s="539">
        <v>16003</v>
      </c>
    </row>
    <row r="139" spans="1:6" ht="17.100000000000001" customHeight="1">
      <c r="A139" s="530"/>
      <c r="B139" s="1295" t="s">
        <v>124</v>
      </c>
      <c r="C139" s="1296"/>
      <c r="D139" s="542"/>
      <c r="E139" s="543" t="s">
        <v>650</v>
      </c>
      <c r="F139" s="544">
        <f>F140+F150</f>
        <v>6500000</v>
      </c>
    </row>
    <row r="140" spans="1:6" ht="17.100000000000001" customHeight="1">
      <c r="A140" s="530"/>
      <c r="B140" s="559"/>
      <c r="C140" s="560"/>
      <c r="D140" s="1285" t="s">
        <v>583</v>
      </c>
      <c r="E140" s="1286"/>
      <c r="F140" s="534">
        <f>F141+F146</f>
        <v>2180000</v>
      </c>
    </row>
    <row r="141" spans="1:6" ht="17.100000000000001" customHeight="1">
      <c r="A141" s="530"/>
      <c r="B141" s="561"/>
      <c r="C141" s="562"/>
      <c r="D141" s="1287" t="s">
        <v>584</v>
      </c>
      <c r="E141" s="1291"/>
      <c r="F141" s="539">
        <f>F142</f>
        <v>90000</v>
      </c>
    </row>
    <row r="142" spans="1:6" ht="17.100000000000001" customHeight="1">
      <c r="A142" s="530"/>
      <c r="B142" s="561"/>
      <c r="C142" s="562"/>
      <c r="D142" s="1266" t="s">
        <v>595</v>
      </c>
      <c r="E142" s="1267"/>
      <c r="F142" s="539">
        <f>SUM(F143:F144)</f>
        <v>90000</v>
      </c>
    </row>
    <row r="143" spans="1:6" ht="17.100000000000001" customHeight="1">
      <c r="A143" s="530"/>
      <c r="B143" s="561"/>
      <c r="C143" s="562"/>
      <c r="D143" s="537" t="s">
        <v>598</v>
      </c>
      <c r="E143" s="538" t="s">
        <v>599</v>
      </c>
      <c r="F143" s="539">
        <v>80000</v>
      </c>
    </row>
    <row r="144" spans="1:6" ht="17.100000000000001" customHeight="1">
      <c r="A144" s="530"/>
      <c r="B144" s="561"/>
      <c r="C144" s="562"/>
      <c r="D144" s="537" t="s">
        <v>406</v>
      </c>
      <c r="E144" s="538" t="s">
        <v>608</v>
      </c>
      <c r="F144" s="539">
        <v>10000</v>
      </c>
    </row>
    <row r="145" spans="1:7" ht="17.100000000000001" customHeight="1">
      <c r="A145" s="530"/>
      <c r="B145" s="561"/>
      <c r="C145" s="562"/>
      <c r="D145" s="1268"/>
      <c r="E145" s="1270"/>
      <c r="F145" s="1271"/>
    </row>
    <row r="146" spans="1:7" ht="17.100000000000001" customHeight="1">
      <c r="A146" s="530"/>
      <c r="B146" s="561"/>
      <c r="C146" s="562"/>
      <c r="D146" s="1287" t="s">
        <v>643</v>
      </c>
      <c r="E146" s="1291"/>
      <c r="F146" s="539">
        <f>SUM(F147:F148)</f>
        <v>2090000</v>
      </c>
    </row>
    <row r="147" spans="1:7" ht="30.75" customHeight="1">
      <c r="A147" s="530"/>
      <c r="B147" s="561"/>
      <c r="C147" s="562"/>
      <c r="D147" s="537" t="s">
        <v>651</v>
      </c>
      <c r="E147" s="538" t="s">
        <v>652</v>
      </c>
      <c r="F147" s="539">
        <v>2040000</v>
      </c>
    </row>
    <row r="148" spans="1:7" ht="30.75" customHeight="1">
      <c r="A148" s="530"/>
      <c r="B148" s="561"/>
      <c r="C148" s="562"/>
      <c r="D148" s="537" t="s">
        <v>653</v>
      </c>
      <c r="E148" s="538" t="s">
        <v>654</v>
      </c>
      <c r="F148" s="539">
        <v>50000</v>
      </c>
    </row>
    <row r="149" spans="1:7" ht="17.100000000000001" customHeight="1">
      <c r="A149" s="530"/>
      <c r="B149" s="561"/>
      <c r="C149" s="1284"/>
      <c r="D149" s="1268"/>
      <c r="E149" s="1270"/>
      <c r="F149" s="1271"/>
    </row>
    <row r="150" spans="1:7" ht="17.100000000000001" customHeight="1">
      <c r="A150" s="530"/>
      <c r="B150" s="561"/>
      <c r="C150" s="1284"/>
      <c r="D150" s="1318" t="s">
        <v>636</v>
      </c>
      <c r="E150" s="1319"/>
      <c r="F150" s="534">
        <f>F151</f>
        <v>4320000</v>
      </c>
    </row>
    <row r="151" spans="1:7" ht="17.100000000000001" customHeight="1">
      <c r="A151" s="530"/>
      <c r="B151" s="561"/>
      <c r="C151" s="1284"/>
      <c r="D151" s="1293" t="s">
        <v>637</v>
      </c>
      <c r="E151" s="1294"/>
      <c r="F151" s="539">
        <f>SUM(F152:F154)</f>
        <v>4320000</v>
      </c>
    </row>
    <row r="152" spans="1:7" ht="17.100000000000001" customHeight="1">
      <c r="A152" s="530"/>
      <c r="B152" s="561"/>
      <c r="C152" s="1284"/>
      <c r="D152" s="537" t="s">
        <v>407</v>
      </c>
      <c r="E152" s="538" t="s">
        <v>655</v>
      </c>
      <c r="F152" s="539">
        <v>170000</v>
      </c>
    </row>
    <row r="153" spans="1:7" ht="37.5" customHeight="1">
      <c r="A153" s="530"/>
      <c r="B153" s="561"/>
      <c r="C153" s="1284"/>
      <c r="D153" s="537" t="s">
        <v>656</v>
      </c>
      <c r="E153" s="538" t="s">
        <v>657</v>
      </c>
      <c r="F153" s="539">
        <v>4100000</v>
      </c>
    </row>
    <row r="154" spans="1:7" ht="38.25">
      <c r="A154" s="530"/>
      <c r="B154" s="563"/>
      <c r="C154" s="1299"/>
      <c r="D154" s="537" t="s">
        <v>658</v>
      </c>
      <c r="E154" s="538" t="s">
        <v>659</v>
      </c>
      <c r="F154" s="539">
        <v>50000</v>
      </c>
    </row>
    <row r="155" spans="1:7" ht="17.100000000000001" customHeight="1">
      <c r="A155" s="530"/>
      <c r="B155" s="1295" t="s">
        <v>503</v>
      </c>
      <c r="C155" s="1296"/>
      <c r="D155" s="542"/>
      <c r="E155" s="543" t="s">
        <v>660</v>
      </c>
      <c r="F155" s="544">
        <f>F156</f>
        <v>63335258</v>
      </c>
    </row>
    <row r="156" spans="1:7" ht="17.100000000000001" customHeight="1">
      <c r="A156" s="530"/>
      <c r="B156" s="545"/>
      <c r="C156" s="546"/>
      <c r="D156" s="1318" t="s">
        <v>636</v>
      </c>
      <c r="E156" s="1319"/>
      <c r="F156" s="534">
        <f>F157</f>
        <v>63335258</v>
      </c>
    </row>
    <row r="157" spans="1:7" ht="17.100000000000001" customHeight="1">
      <c r="A157" s="530"/>
      <c r="B157" s="545"/>
      <c r="C157" s="546"/>
      <c r="D157" s="1293" t="s">
        <v>637</v>
      </c>
      <c r="E157" s="1294"/>
      <c r="F157" s="539">
        <f>SUM(F158:F161)</f>
        <v>63335258</v>
      </c>
    </row>
    <row r="158" spans="1:7" ht="17.100000000000001" customHeight="1">
      <c r="A158" s="530"/>
      <c r="B158" s="1268"/>
      <c r="C158" s="1269"/>
      <c r="D158" s="537" t="s">
        <v>471</v>
      </c>
      <c r="E158" s="538" t="s">
        <v>638</v>
      </c>
      <c r="F158" s="539">
        <v>46011981</v>
      </c>
    </row>
    <row r="159" spans="1:7" ht="17.100000000000001" customHeight="1">
      <c r="A159" s="530"/>
      <c r="B159" s="540"/>
      <c r="C159" s="541"/>
      <c r="D159" s="537" t="s">
        <v>414</v>
      </c>
      <c r="E159" s="538" t="s">
        <v>638</v>
      </c>
      <c r="F159" s="539">
        <v>9620277</v>
      </c>
    </row>
    <row r="160" spans="1:7" ht="17.100000000000001" customHeight="1">
      <c r="A160" s="530"/>
      <c r="B160" s="1268"/>
      <c r="C160" s="1269"/>
      <c r="D160" s="537" t="s">
        <v>472</v>
      </c>
      <c r="E160" s="538" t="s">
        <v>638</v>
      </c>
      <c r="F160" s="539">
        <v>7703000</v>
      </c>
      <c r="G160" s="564"/>
    </row>
    <row r="161" spans="1:9" ht="17.100000000000001" hidden="1" customHeight="1">
      <c r="A161" s="530"/>
      <c r="B161" s="1268"/>
      <c r="C161" s="1269"/>
      <c r="D161" s="537" t="s">
        <v>472</v>
      </c>
      <c r="E161" s="538" t="s">
        <v>638</v>
      </c>
      <c r="F161" s="539"/>
    </row>
    <row r="162" spans="1:9" ht="17.100000000000001" customHeight="1">
      <c r="A162" s="530"/>
      <c r="B162" s="540"/>
      <c r="C162" s="541"/>
      <c r="D162" s="1268"/>
      <c r="E162" s="1315"/>
      <c r="F162" s="1316"/>
    </row>
    <row r="163" spans="1:9" ht="17.100000000000001" customHeight="1">
      <c r="A163" s="530"/>
      <c r="B163" s="540"/>
      <c r="C163" s="541"/>
      <c r="D163" s="1266" t="s">
        <v>641</v>
      </c>
      <c r="E163" s="1297"/>
      <c r="F163" s="539">
        <f>SUM(F164:F165)</f>
        <v>17323277</v>
      </c>
    </row>
    <row r="164" spans="1:9" ht="17.100000000000001" customHeight="1">
      <c r="A164" s="530"/>
      <c r="B164" s="540"/>
      <c r="C164" s="541"/>
      <c r="D164" s="537" t="s">
        <v>414</v>
      </c>
      <c r="E164" s="538" t="s">
        <v>638</v>
      </c>
      <c r="F164" s="539">
        <v>9620277</v>
      </c>
    </row>
    <row r="165" spans="1:9" ht="17.100000000000001" customHeight="1">
      <c r="A165" s="530"/>
      <c r="B165" s="540"/>
      <c r="C165" s="541"/>
      <c r="D165" s="537" t="s">
        <v>472</v>
      </c>
      <c r="E165" s="538" t="s">
        <v>638</v>
      </c>
      <c r="F165" s="539">
        <v>7703000</v>
      </c>
    </row>
    <row r="166" spans="1:9" ht="17.100000000000001" customHeight="1">
      <c r="A166" s="530"/>
      <c r="B166" s="1295" t="s">
        <v>125</v>
      </c>
      <c r="C166" s="1296"/>
      <c r="D166" s="542"/>
      <c r="E166" s="543" t="s">
        <v>238</v>
      </c>
      <c r="F166" s="544">
        <f>F167</f>
        <v>2347130</v>
      </c>
    </row>
    <row r="167" spans="1:9" ht="17.100000000000001" customHeight="1">
      <c r="A167" s="530"/>
      <c r="B167" s="545"/>
      <c r="C167" s="546"/>
      <c r="D167" s="1285" t="s">
        <v>583</v>
      </c>
      <c r="E167" s="1286"/>
      <c r="F167" s="534">
        <f>F168+F175</f>
        <v>2347130</v>
      </c>
    </row>
    <row r="168" spans="1:9" ht="17.100000000000001" customHeight="1">
      <c r="A168" s="530"/>
      <c r="B168" s="545"/>
      <c r="C168" s="546"/>
      <c r="D168" s="1287" t="s">
        <v>584</v>
      </c>
      <c r="E168" s="1291"/>
      <c r="F168" s="539">
        <f>F169</f>
        <v>685300</v>
      </c>
    </row>
    <row r="169" spans="1:9" ht="17.100000000000001" customHeight="1">
      <c r="A169" s="530"/>
      <c r="B169" s="545"/>
      <c r="C169" s="546"/>
      <c r="D169" s="1266" t="s">
        <v>595</v>
      </c>
      <c r="E169" s="1267"/>
      <c r="F169" s="539">
        <f>SUM(F170:F173)</f>
        <v>685300</v>
      </c>
    </row>
    <row r="170" spans="1:9" ht="17.100000000000001" customHeight="1">
      <c r="A170" s="530"/>
      <c r="B170" s="545"/>
      <c r="C170" s="546"/>
      <c r="D170" s="557" t="s">
        <v>661</v>
      </c>
      <c r="E170" s="549" t="s">
        <v>648</v>
      </c>
      <c r="F170" s="539">
        <v>10000</v>
      </c>
    </row>
    <row r="171" spans="1:9" ht="17.100000000000001" customHeight="1">
      <c r="A171" s="530"/>
      <c r="B171" s="1268"/>
      <c r="C171" s="1269"/>
      <c r="D171" s="537" t="s">
        <v>406</v>
      </c>
      <c r="E171" s="538" t="s">
        <v>608</v>
      </c>
      <c r="F171" s="539">
        <f>475000+175000</f>
        <v>650000</v>
      </c>
      <c r="H171" s="514" t="s">
        <v>662</v>
      </c>
      <c r="I171" s="514" t="s">
        <v>663</v>
      </c>
    </row>
    <row r="172" spans="1:9" ht="17.100000000000001" customHeight="1">
      <c r="A172" s="530"/>
      <c r="B172" s="1268"/>
      <c r="C172" s="1269"/>
      <c r="D172" s="537" t="s">
        <v>664</v>
      </c>
      <c r="E172" s="538" t="s">
        <v>649</v>
      </c>
      <c r="F172" s="539">
        <v>20300</v>
      </c>
    </row>
    <row r="173" spans="1:9" ht="17.100000000000001" customHeight="1">
      <c r="A173" s="530"/>
      <c r="B173" s="540"/>
      <c r="C173" s="541"/>
      <c r="D173" s="537" t="s">
        <v>634</v>
      </c>
      <c r="E173" s="538" t="s">
        <v>635</v>
      </c>
      <c r="F173" s="565">
        <v>5000</v>
      </c>
    </row>
    <row r="174" spans="1:9" ht="17.100000000000001" customHeight="1">
      <c r="A174" s="530"/>
      <c r="B174" s="540"/>
      <c r="C174" s="541"/>
      <c r="D174" s="1324"/>
      <c r="E174" s="1325"/>
      <c r="F174" s="1326"/>
    </row>
    <row r="175" spans="1:9" ht="17.100000000000001" customHeight="1">
      <c r="A175" s="530"/>
      <c r="B175" s="540"/>
      <c r="C175" s="541"/>
      <c r="D175" s="1327" t="s">
        <v>643</v>
      </c>
      <c r="E175" s="1328"/>
      <c r="F175" s="566">
        <f>F176</f>
        <v>1661830</v>
      </c>
    </row>
    <row r="176" spans="1:9" ht="45" customHeight="1" thickBot="1">
      <c r="A176" s="530"/>
      <c r="B176" s="1268"/>
      <c r="C176" s="1269"/>
      <c r="D176" s="551" t="s">
        <v>665</v>
      </c>
      <c r="E176" s="552" t="s">
        <v>666</v>
      </c>
      <c r="F176" s="553">
        <v>1661830</v>
      </c>
    </row>
    <row r="177" spans="1:6" ht="17.100000000000001" customHeight="1" thickBot="1">
      <c r="A177" s="526" t="s">
        <v>447</v>
      </c>
      <c r="B177" s="1277"/>
      <c r="C177" s="1278"/>
      <c r="D177" s="527"/>
      <c r="E177" s="528" t="s">
        <v>667</v>
      </c>
      <c r="F177" s="529">
        <f>SUM(F178)</f>
        <v>800000</v>
      </c>
    </row>
    <row r="178" spans="1:6" ht="42.75" customHeight="1">
      <c r="A178" s="530"/>
      <c r="B178" s="1279" t="s">
        <v>448</v>
      </c>
      <c r="C178" s="1280"/>
      <c r="D178" s="531"/>
      <c r="E178" s="532" t="s">
        <v>668</v>
      </c>
      <c r="F178" s="533">
        <f>SUM(F179)</f>
        <v>800000</v>
      </c>
    </row>
    <row r="179" spans="1:6" ht="17.100000000000001" customHeight="1">
      <c r="A179" s="530"/>
      <c r="B179" s="1281"/>
      <c r="C179" s="1282"/>
      <c r="D179" s="1285" t="s">
        <v>583</v>
      </c>
      <c r="E179" s="1286"/>
      <c r="F179" s="534">
        <f>F180</f>
        <v>800000</v>
      </c>
    </row>
    <row r="180" spans="1:6" ht="17.100000000000001" customHeight="1">
      <c r="A180" s="530"/>
      <c r="B180" s="1283"/>
      <c r="C180" s="1284"/>
      <c r="D180" s="1287" t="s">
        <v>647</v>
      </c>
      <c r="E180" s="1291"/>
      <c r="F180" s="539">
        <f>SUM(F181:F205)</f>
        <v>800000</v>
      </c>
    </row>
    <row r="181" spans="1:6" ht="17.100000000000001" customHeight="1">
      <c r="A181" s="530"/>
      <c r="B181" s="1283"/>
      <c r="C181" s="1284"/>
      <c r="D181" s="537" t="s">
        <v>362</v>
      </c>
      <c r="E181" s="538" t="s">
        <v>586</v>
      </c>
      <c r="F181" s="539">
        <v>329550</v>
      </c>
    </row>
    <row r="182" spans="1:6" ht="17.100000000000001" customHeight="1">
      <c r="A182" s="530"/>
      <c r="B182" s="1268"/>
      <c r="C182" s="1269"/>
      <c r="D182" s="537" t="s">
        <v>363</v>
      </c>
      <c r="E182" s="538" t="s">
        <v>586</v>
      </c>
      <c r="F182" s="539">
        <v>109850</v>
      </c>
    </row>
    <row r="183" spans="1:6" ht="17.100000000000001" customHeight="1">
      <c r="A183" s="530"/>
      <c r="B183" s="1268"/>
      <c r="C183" s="1269"/>
      <c r="D183" s="537" t="s">
        <v>364</v>
      </c>
      <c r="E183" s="538" t="s">
        <v>588</v>
      </c>
      <c r="F183" s="539">
        <v>24750</v>
      </c>
    </row>
    <row r="184" spans="1:6" ht="17.100000000000001" customHeight="1">
      <c r="A184" s="530"/>
      <c r="B184" s="1268"/>
      <c r="C184" s="1269"/>
      <c r="D184" s="537" t="s">
        <v>365</v>
      </c>
      <c r="E184" s="538" t="s">
        <v>588</v>
      </c>
      <c r="F184" s="539">
        <v>8250</v>
      </c>
    </row>
    <row r="185" spans="1:6" ht="17.100000000000001" customHeight="1">
      <c r="A185" s="530"/>
      <c r="B185" s="1268"/>
      <c r="C185" s="1269"/>
      <c r="D185" s="537" t="s">
        <v>334</v>
      </c>
      <c r="E185" s="538" t="s">
        <v>590</v>
      </c>
      <c r="F185" s="539">
        <v>61500</v>
      </c>
    </row>
    <row r="186" spans="1:6" ht="17.100000000000001" customHeight="1">
      <c r="A186" s="530"/>
      <c r="B186" s="1268"/>
      <c r="C186" s="1269"/>
      <c r="D186" s="537" t="s">
        <v>335</v>
      </c>
      <c r="E186" s="538" t="s">
        <v>590</v>
      </c>
      <c r="F186" s="539">
        <v>20500</v>
      </c>
    </row>
    <row r="187" spans="1:6" ht="17.100000000000001" customHeight="1">
      <c r="A187" s="530"/>
      <c r="B187" s="1268"/>
      <c r="C187" s="1269"/>
      <c r="D187" s="537" t="s">
        <v>366</v>
      </c>
      <c r="E187" s="538" t="s">
        <v>592</v>
      </c>
      <c r="F187" s="539">
        <v>8250</v>
      </c>
    </row>
    <row r="188" spans="1:6" ht="17.100000000000001" customHeight="1">
      <c r="A188" s="530"/>
      <c r="B188" s="1268"/>
      <c r="C188" s="1269"/>
      <c r="D188" s="537" t="s">
        <v>367</v>
      </c>
      <c r="E188" s="538" t="s">
        <v>592</v>
      </c>
      <c r="F188" s="539">
        <v>2750</v>
      </c>
    </row>
    <row r="189" spans="1:6" ht="17.100000000000001" customHeight="1">
      <c r="A189" s="530"/>
      <c r="B189" s="540"/>
      <c r="C189" s="541"/>
      <c r="D189" s="537" t="s">
        <v>336</v>
      </c>
      <c r="E189" s="538" t="s">
        <v>594</v>
      </c>
      <c r="F189" s="539">
        <v>450</v>
      </c>
    </row>
    <row r="190" spans="1:6" ht="17.100000000000001" customHeight="1">
      <c r="A190" s="530"/>
      <c r="B190" s="540"/>
      <c r="C190" s="541"/>
      <c r="D190" s="537" t="s">
        <v>337</v>
      </c>
      <c r="E190" s="538" t="s">
        <v>594</v>
      </c>
      <c r="F190" s="539">
        <v>150</v>
      </c>
    </row>
    <row r="191" spans="1:6" ht="17.100000000000001" customHeight="1">
      <c r="A191" s="530"/>
      <c r="B191" s="540"/>
      <c r="C191" s="541"/>
      <c r="D191" s="537" t="s">
        <v>439</v>
      </c>
      <c r="E191" s="538" t="s">
        <v>648</v>
      </c>
      <c r="F191" s="539">
        <v>3750</v>
      </c>
    </row>
    <row r="192" spans="1:6" ht="17.100000000000001" customHeight="1">
      <c r="A192" s="530"/>
      <c r="B192" s="540"/>
      <c r="C192" s="541"/>
      <c r="D192" s="537" t="s">
        <v>440</v>
      </c>
      <c r="E192" s="538" t="s">
        <v>648</v>
      </c>
      <c r="F192" s="539">
        <v>1250</v>
      </c>
    </row>
    <row r="193" spans="1:6" ht="17.100000000000001" customHeight="1">
      <c r="A193" s="530"/>
      <c r="B193" s="1268"/>
      <c r="C193" s="1269"/>
      <c r="D193" s="537" t="s">
        <v>339</v>
      </c>
      <c r="E193" s="538" t="s">
        <v>599</v>
      </c>
      <c r="F193" s="539">
        <v>43500</v>
      </c>
    </row>
    <row r="194" spans="1:6" ht="17.100000000000001" customHeight="1">
      <c r="A194" s="530"/>
      <c r="B194" s="1268"/>
      <c r="C194" s="1269"/>
      <c r="D194" s="537" t="s">
        <v>340</v>
      </c>
      <c r="E194" s="538" t="s">
        <v>599</v>
      </c>
      <c r="F194" s="539">
        <v>14500</v>
      </c>
    </row>
    <row r="195" spans="1:6" ht="17.100000000000001" customHeight="1">
      <c r="A195" s="530"/>
      <c r="B195" s="540"/>
      <c r="C195" s="541"/>
      <c r="D195" s="537" t="s">
        <v>441</v>
      </c>
      <c r="E195" s="538" t="s">
        <v>605</v>
      </c>
      <c r="F195" s="539">
        <v>6750</v>
      </c>
    </row>
    <row r="196" spans="1:6" ht="17.100000000000001" customHeight="1">
      <c r="A196" s="530"/>
      <c r="B196" s="540"/>
      <c r="C196" s="541"/>
      <c r="D196" s="537" t="s">
        <v>442</v>
      </c>
      <c r="E196" s="538" t="s">
        <v>605</v>
      </c>
      <c r="F196" s="539">
        <v>2250</v>
      </c>
    </row>
    <row r="197" spans="1:6" ht="17.100000000000001" customHeight="1">
      <c r="A197" s="530"/>
      <c r="B197" s="1268"/>
      <c r="C197" s="1269"/>
      <c r="D197" s="537" t="s">
        <v>341</v>
      </c>
      <c r="E197" s="538" t="s">
        <v>608</v>
      </c>
      <c r="F197" s="539">
        <v>87750</v>
      </c>
    </row>
    <row r="198" spans="1:6">
      <c r="A198" s="530"/>
      <c r="B198" s="1268"/>
      <c r="C198" s="1269"/>
      <c r="D198" s="537" t="s">
        <v>342</v>
      </c>
      <c r="E198" s="538" t="s">
        <v>608</v>
      </c>
      <c r="F198" s="539">
        <v>29250</v>
      </c>
    </row>
    <row r="199" spans="1:6">
      <c r="A199" s="530"/>
      <c r="B199" s="540"/>
      <c r="C199" s="541"/>
      <c r="D199" s="537" t="s">
        <v>354</v>
      </c>
      <c r="E199" s="538" t="s">
        <v>669</v>
      </c>
      <c r="F199" s="539">
        <v>6750</v>
      </c>
    </row>
    <row r="200" spans="1:6">
      <c r="A200" s="530"/>
      <c r="B200" s="540"/>
      <c r="C200" s="541"/>
      <c r="D200" s="537" t="s">
        <v>355</v>
      </c>
      <c r="E200" s="538" t="s">
        <v>669</v>
      </c>
      <c r="F200" s="539">
        <v>2250</v>
      </c>
    </row>
    <row r="201" spans="1:6" ht="17.100000000000001" customHeight="1">
      <c r="A201" s="530"/>
      <c r="B201" s="1268"/>
      <c r="C201" s="1269"/>
      <c r="D201" s="537" t="s">
        <v>345</v>
      </c>
      <c r="E201" s="538" t="s">
        <v>614</v>
      </c>
      <c r="F201" s="539">
        <v>12000</v>
      </c>
    </row>
    <row r="202" spans="1:6" ht="17.100000000000001" customHeight="1">
      <c r="A202" s="530"/>
      <c r="B202" s="1268"/>
      <c r="C202" s="1269"/>
      <c r="D202" s="537" t="s">
        <v>346</v>
      </c>
      <c r="E202" s="538" t="s">
        <v>614</v>
      </c>
      <c r="F202" s="539">
        <v>4000</v>
      </c>
    </row>
    <row r="203" spans="1:6" ht="17.100000000000001" hidden="1" customHeight="1">
      <c r="A203" s="530"/>
      <c r="B203" s="1268"/>
      <c r="C203" s="1269"/>
      <c r="D203" s="537" t="s">
        <v>627</v>
      </c>
      <c r="E203" s="538" t="s">
        <v>628</v>
      </c>
      <c r="F203" s="539"/>
    </row>
    <row r="204" spans="1:6" ht="17.100000000000001" customHeight="1">
      <c r="A204" s="530"/>
      <c r="B204" s="1268"/>
      <c r="C204" s="1269"/>
      <c r="D204" s="537" t="s">
        <v>378</v>
      </c>
      <c r="E204" s="538" t="s">
        <v>628</v>
      </c>
      <c r="F204" s="539">
        <v>15000</v>
      </c>
    </row>
    <row r="205" spans="1:6" ht="17.100000000000001" customHeight="1" thickBot="1">
      <c r="A205" s="530"/>
      <c r="B205" s="1268"/>
      <c r="C205" s="1269"/>
      <c r="D205" s="551" t="s">
        <v>379</v>
      </c>
      <c r="E205" s="552" t="s">
        <v>628</v>
      </c>
      <c r="F205" s="553">
        <v>5000</v>
      </c>
    </row>
    <row r="206" spans="1:6" ht="17.100000000000001" customHeight="1" thickBot="1">
      <c r="A206" s="526" t="s">
        <v>670</v>
      </c>
      <c r="B206" s="1277"/>
      <c r="C206" s="1278"/>
      <c r="D206" s="527"/>
      <c r="E206" s="528" t="s">
        <v>671</v>
      </c>
      <c r="F206" s="529">
        <f>F207+F233</f>
        <v>23133906</v>
      </c>
    </row>
    <row r="207" spans="1:6" ht="17.100000000000001" customHeight="1">
      <c r="A207" s="530"/>
      <c r="B207" s="1279" t="s">
        <v>319</v>
      </c>
      <c r="C207" s="1280"/>
      <c r="D207" s="531"/>
      <c r="E207" s="532" t="s">
        <v>672</v>
      </c>
      <c r="F207" s="533">
        <f>F208+F228</f>
        <v>23133906</v>
      </c>
    </row>
    <row r="208" spans="1:6" ht="17.100000000000001" customHeight="1">
      <c r="A208" s="530"/>
      <c r="B208" s="1281"/>
      <c r="C208" s="1282"/>
      <c r="D208" s="1285" t="s">
        <v>583</v>
      </c>
      <c r="E208" s="1286"/>
      <c r="F208" s="534">
        <f>F209+F212</f>
        <v>13121635</v>
      </c>
    </row>
    <row r="209" spans="1:9" ht="17.100000000000001" customHeight="1">
      <c r="A209" s="530"/>
      <c r="B209" s="1283"/>
      <c r="C209" s="1284"/>
      <c r="D209" s="1287" t="s">
        <v>643</v>
      </c>
      <c r="E209" s="1291"/>
      <c r="F209" s="539">
        <f>F210</f>
        <v>3960635</v>
      </c>
    </row>
    <row r="210" spans="1:9" ht="52.5" customHeight="1">
      <c r="A210" s="530"/>
      <c r="B210" s="1283"/>
      <c r="C210" s="1284"/>
      <c r="D210" s="537" t="s">
        <v>317</v>
      </c>
      <c r="E210" s="567" t="s">
        <v>673</v>
      </c>
      <c r="F210" s="565">
        <v>3960635</v>
      </c>
      <c r="I210" s="514" t="s">
        <v>674</v>
      </c>
    </row>
    <row r="211" spans="1:9" ht="17.100000000000001" customHeight="1">
      <c r="A211" s="530"/>
      <c r="B211" s="545"/>
      <c r="C211" s="546"/>
      <c r="D211" s="1268"/>
      <c r="E211" s="1270"/>
      <c r="F211" s="1271"/>
    </row>
    <row r="212" spans="1:9" ht="17.100000000000001" customHeight="1">
      <c r="A212" s="530"/>
      <c r="B212" s="545"/>
      <c r="C212" s="546"/>
      <c r="D212" s="1287" t="s">
        <v>647</v>
      </c>
      <c r="E212" s="1333"/>
      <c r="F212" s="556">
        <f>SUM(F213:F226)</f>
        <v>9161000</v>
      </c>
    </row>
    <row r="213" spans="1:9" ht="52.5" customHeight="1">
      <c r="A213" s="530"/>
      <c r="B213" s="545"/>
      <c r="C213" s="546"/>
      <c r="D213" s="551" t="s">
        <v>390</v>
      </c>
      <c r="E213" s="568" t="s">
        <v>673</v>
      </c>
      <c r="F213" s="569">
        <v>8000000</v>
      </c>
    </row>
    <row r="214" spans="1:9" ht="17.100000000000001" customHeight="1">
      <c r="A214" s="530"/>
      <c r="B214" s="545"/>
      <c r="C214" s="546"/>
      <c r="D214" s="570" t="s">
        <v>391</v>
      </c>
      <c r="E214" s="571" t="s">
        <v>586</v>
      </c>
      <c r="F214" s="569">
        <v>543000</v>
      </c>
    </row>
    <row r="215" spans="1:9" ht="17.100000000000001" customHeight="1">
      <c r="A215" s="530"/>
      <c r="B215" s="545"/>
      <c r="C215" s="546"/>
      <c r="D215" s="570" t="s">
        <v>392</v>
      </c>
      <c r="E215" s="538" t="s">
        <v>588</v>
      </c>
      <c r="F215" s="569">
        <v>43000</v>
      </c>
    </row>
    <row r="216" spans="1:9" ht="17.100000000000001" customHeight="1">
      <c r="A216" s="530"/>
      <c r="B216" s="545"/>
      <c r="C216" s="546"/>
      <c r="D216" s="537" t="s">
        <v>393</v>
      </c>
      <c r="E216" s="571" t="s">
        <v>590</v>
      </c>
      <c r="F216" s="569">
        <v>26000</v>
      </c>
    </row>
    <row r="217" spans="1:9" ht="17.100000000000001" customHeight="1">
      <c r="A217" s="530"/>
      <c r="B217" s="545"/>
      <c r="C217" s="546"/>
      <c r="D217" s="537" t="s">
        <v>394</v>
      </c>
      <c r="E217" s="538" t="s">
        <v>592</v>
      </c>
      <c r="F217" s="569">
        <v>13000</v>
      </c>
    </row>
    <row r="218" spans="1:9" ht="17.100000000000001" customHeight="1">
      <c r="A218" s="530"/>
      <c r="B218" s="545"/>
      <c r="C218" s="546"/>
      <c r="D218" s="537" t="s">
        <v>395</v>
      </c>
      <c r="E218" s="538" t="s">
        <v>594</v>
      </c>
      <c r="F218" s="569">
        <v>300000</v>
      </c>
    </row>
    <row r="219" spans="1:9" ht="17.100000000000001" customHeight="1">
      <c r="A219" s="530"/>
      <c r="B219" s="545"/>
      <c r="C219" s="546"/>
      <c r="D219" s="537" t="s">
        <v>396</v>
      </c>
      <c r="E219" s="538" t="s">
        <v>599</v>
      </c>
      <c r="F219" s="569">
        <v>50000</v>
      </c>
    </row>
    <row r="220" spans="1:9" ht="17.100000000000001" customHeight="1">
      <c r="A220" s="530"/>
      <c r="B220" s="545"/>
      <c r="C220" s="546"/>
      <c r="D220" s="537" t="s">
        <v>397</v>
      </c>
      <c r="E220" s="538" t="s">
        <v>608</v>
      </c>
      <c r="F220" s="569">
        <v>40000</v>
      </c>
    </row>
    <row r="221" spans="1:9" ht="17.100000000000001" customHeight="1">
      <c r="A221" s="530"/>
      <c r="B221" s="545"/>
      <c r="C221" s="546"/>
      <c r="D221" s="537" t="s">
        <v>398</v>
      </c>
      <c r="E221" s="538" t="s">
        <v>675</v>
      </c>
      <c r="F221" s="569">
        <v>10000</v>
      </c>
    </row>
    <row r="222" spans="1:9" ht="17.100000000000001" customHeight="1">
      <c r="A222" s="530"/>
      <c r="B222" s="545"/>
      <c r="C222" s="546"/>
      <c r="D222" s="537" t="s">
        <v>399</v>
      </c>
      <c r="E222" s="538" t="s">
        <v>649</v>
      </c>
      <c r="F222" s="569">
        <v>50000</v>
      </c>
    </row>
    <row r="223" spans="1:9" ht="17.100000000000001" customHeight="1">
      <c r="A223" s="530"/>
      <c r="B223" s="545"/>
      <c r="C223" s="546"/>
      <c r="D223" s="537" t="s">
        <v>400</v>
      </c>
      <c r="E223" s="538" t="s">
        <v>614</v>
      </c>
      <c r="F223" s="569">
        <v>20000</v>
      </c>
    </row>
    <row r="224" spans="1:9" ht="17.100000000000001" customHeight="1">
      <c r="A224" s="530"/>
      <c r="B224" s="545"/>
      <c r="C224" s="546"/>
      <c r="D224" s="537" t="s">
        <v>401</v>
      </c>
      <c r="E224" s="538" t="s">
        <v>616</v>
      </c>
      <c r="F224" s="569">
        <v>3000</v>
      </c>
    </row>
    <row r="225" spans="1:7" ht="17.100000000000001" customHeight="1">
      <c r="A225" s="530"/>
      <c r="B225" s="545"/>
      <c r="C225" s="546"/>
      <c r="D225" s="551" t="s">
        <v>402</v>
      </c>
      <c r="E225" s="552" t="s">
        <v>618</v>
      </c>
      <c r="F225" s="572">
        <v>13000</v>
      </c>
    </row>
    <row r="226" spans="1:7" ht="17.100000000000001" customHeight="1">
      <c r="A226" s="530"/>
      <c r="B226" s="545"/>
      <c r="C226" s="546"/>
      <c r="D226" s="537" t="s">
        <v>403</v>
      </c>
      <c r="E226" s="538" t="s">
        <v>628</v>
      </c>
      <c r="F226" s="573">
        <v>50000</v>
      </c>
    </row>
    <row r="227" spans="1:7" ht="17.100000000000001" customHeight="1">
      <c r="A227" s="530"/>
      <c r="B227" s="545"/>
      <c r="C227" s="546"/>
      <c r="D227" s="1303"/>
      <c r="E227" s="1334"/>
      <c r="F227" s="574"/>
    </row>
    <row r="228" spans="1:7" ht="17.100000000000001" customHeight="1">
      <c r="A228" s="530"/>
      <c r="B228" s="545"/>
      <c r="C228" s="546"/>
      <c r="D228" s="1306" t="s">
        <v>636</v>
      </c>
      <c r="E228" s="1307"/>
      <c r="F228" s="547">
        <f>F229</f>
        <v>10012271</v>
      </c>
    </row>
    <row r="229" spans="1:7" ht="17.100000000000001" customHeight="1">
      <c r="A229" s="530"/>
      <c r="B229" s="545"/>
      <c r="C229" s="546"/>
      <c r="D229" s="1335" t="s">
        <v>637</v>
      </c>
      <c r="E229" s="1294"/>
      <c r="F229" s="539">
        <f>SUM(F230:F232)</f>
        <v>10012271</v>
      </c>
    </row>
    <row r="230" spans="1:7" ht="51">
      <c r="A230" s="530"/>
      <c r="B230" s="545"/>
      <c r="C230" s="575"/>
      <c r="D230" s="548" t="s">
        <v>321</v>
      </c>
      <c r="E230" s="538" t="s">
        <v>676</v>
      </c>
      <c r="F230" s="539">
        <v>500000</v>
      </c>
    </row>
    <row r="231" spans="1:7" ht="52.5" customHeight="1">
      <c r="A231" s="530"/>
      <c r="B231" s="545"/>
      <c r="C231" s="575"/>
      <c r="D231" s="548" t="s">
        <v>320</v>
      </c>
      <c r="E231" s="538" t="s">
        <v>676</v>
      </c>
      <c r="F231" s="539">
        <f>8500000+12271</f>
        <v>8512271</v>
      </c>
    </row>
    <row r="232" spans="1:7" ht="51">
      <c r="A232" s="530"/>
      <c r="B232" s="1268"/>
      <c r="C232" s="1269"/>
      <c r="D232" s="550" t="s">
        <v>326</v>
      </c>
      <c r="E232" s="576" t="s">
        <v>677</v>
      </c>
      <c r="F232" s="539">
        <v>1000000</v>
      </c>
      <c r="G232" s="564"/>
    </row>
    <row r="233" spans="1:7" ht="17.100000000000001" hidden="1" customHeight="1">
      <c r="A233" s="530"/>
      <c r="B233" s="1295" t="s">
        <v>678</v>
      </c>
      <c r="C233" s="1296"/>
      <c r="D233" s="542"/>
      <c r="E233" s="543" t="s">
        <v>679</v>
      </c>
      <c r="F233" s="544">
        <f>F234</f>
        <v>0</v>
      </c>
    </row>
    <row r="234" spans="1:7" ht="17.100000000000001" hidden="1" customHeight="1">
      <c r="A234" s="530"/>
      <c r="B234" s="1283"/>
      <c r="C234" s="1284"/>
      <c r="D234" s="1285" t="s">
        <v>583</v>
      </c>
      <c r="E234" s="1286"/>
      <c r="F234" s="534">
        <f>F235</f>
        <v>0</v>
      </c>
    </row>
    <row r="235" spans="1:7" ht="17.100000000000001" hidden="1" customHeight="1">
      <c r="A235" s="530"/>
      <c r="B235" s="1283"/>
      <c r="C235" s="1284"/>
      <c r="D235" s="1287" t="s">
        <v>643</v>
      </c>
      <c r="E235" s="1291"/>
      <c r="F235" s="539">
        <f>F236</f>
        <v>0</v>
      </c>
    </row>
    <row r="236" spans="1:7" ht="40.5" hidden="1" customHeight="1">
      <c r="A236" s="530"/>
      <c r="B236" s="1298"/>
      <c r="C236" s="1299"/>
      <c r="D236" s="537" t="s">
        <v>317</v>
      </c>
      <c r="E236" s="538" t="s">
        <v>680</v>
      </c>
      <c r="F236" s="539">
        <v>0</v>
      </c>
    </row>
    <row r="237" spans="1:7">
      <c r="A237" s="530"/>
      <c r="B237" s="545"/>
      <c r="C237" s="546"/>
      <c r="D237" s="557"/>
      <c r="E237" s="577"/>
      <c r="F237" s="539"/>
    </row>
    <row r="238" spans="1:7" ht="15">
      <c r="A238" s="530"/>
      <c r="B238" s="545"/>
      <c r="C238" s="546"/>
      <c r="D238" s="1266" t="s">
        <v>641</v>
      </c>
      <c r="E238" s="1297"/>
      <c r="F238" s="539">
        <f>SUM(F239)</f>
        <v>500000</v>
      </c>
    </row>
    <row r="239" spans="1:7" ht="53.25" customHeight="1" thickBot="1">
      <c r="A239" s="530"/>
      <c r="B239" s="545"/>
      <c r="C239" s="546"/>
      <c r="D239" s="578" t="s">
        <v>321</v>
      </c>
      <c r="E239" s="552" t="s">
        <v>676</v>
      </c>
      <c r="F239" s="553">
        <v>500000</v>
      </c>
    </row>
    <row r="240" spans="1:7" ht="17.100000000000001" customHeight="1" thickBot="1">
      <c r="A240" s="526" t="s">
        <v>681</v>
      </c>
      <c r="B240" s="1277"/>
      <c r="C240" s="1278"/>
      <c r="D240" s="527"/>
      <c r="E240" s="528" t="s">
        <v>682</v>
      </c>
      <c r="F240" s="529">
        <f>F241</f>
        <v>241232</v>
      </c>
    </row>
    <row r="241" spans="1:6" ht="17.100000000000001" customHeight="1">
      <c r="A241" s="530"/>
      <c r="B241" s="1279" t="s">
        <v>683</v>
      </c>
      <c r="C241" s="1280"/>
      <c r="D241" s="531"/>
      <c r="E241" s="532" t="s">
        <v>684</v>
      </c>
      <c r="F241" s="533">
        <f>F242</f>
        <v>241232</v>
      </c>
    </row>
    <row r="242" spans="1:6" ht="17.100000000000001" customHeight="1">
      <c r="A242" s="530"/>
      <c r="B242" s="1281"/>
      <c r="C242" s="1282"/>
      <c r="D242" s="1285" t="s">
        <v>583</v>
      </c>
      <c r="E242" s="1286"/>
      <c r="F242" s="534">
        <f>F243</f>
        <v>241232</v>
      </c>
    </row>
    <row r="243" spans="1:6" ht="17.100000000000001" customHeight="1">
      <c r="A243" s="530"/>
      <c r="B243" s="1283"/>
      <c r="C243" s="1284"/>
      <c r="D243" s="1329" t="s">
        <v>584</v>
      </c>
      <c r="E243" s="1330"/>
      <c r="F243" s="539">
        <f>F244+F250</f>
        <v>241232</v>
      </c>
    </row>
    <row r="244" spans="1:6" ht="17.100000000000001" customHeight="1">
      <c r="A244" s="530"/>
      <c r="B244" s="1283"/>
      <c r="C244" s="1284"/>
      <c r="D244" s="1331" t="s">
        <v>585</v>
      </c>
      <c r="E244" s="1332"/>
      <c r="F244" s="539">
        <f>SUM(F245:F248)</f>
        <v>236732</v>
      </c>
    </row>
    <row r="245" spans="1:6" ht="17.100000000000001" customHeight="1">
      <c r="A245" s="530"/>
      <c r="B245" s="1283"/>
      <c r="C245" s="1284"/>
      <c r="D245" s="570" t="s">
        <v>527</v>
      </c>
      <c r="E245" s="571" t="s">
        <v>586</v>
      </c>
      <c r="F245" s="539">
        <v>180028</v>
      </c>
    </row>
    <row r="246" spans="1:6" ht="17.100000000000001" customHeight="1">
      <c r="A246" s="530"/>
      <c r="B246" s="1283"/>
      <c r="C246" s="1284"/>
      <c r="D246" s="570" t="s">
        <v>587</v>
      </c>
      <c r="E246" s="538" t="s">
        <v>588</v>
      </c>
      <c r="F246" s="539">
        <v>14300</v>
      </c>
    </row>
    <row r="247" spans="1:6" ht="17.100000000000001" customHeight="1">
      <c r="A247" s="530"/>
      <c r="B247" s="1283"/>
      <c r="C247" s="1284"/>
      <c r="D247" s="570" t="s">
        <v>589</v>
      </c>
      <c r="E247" s="571" t="s">
        <v>590</v>
      </c>
      <c r="F247" s="539">
        <v>37000</v>
      </c>
    </row>
    <row r="248" spans="1:6" ht="14.25" customHeight="1">
      <c r="A248" s="530"/>
      <c r="B248" s="1283"/>
      <c r="C248" s="1284"/>
      <c r="D248" s="570" t="s">
        <v>591</v>
      </c>
      <c r="E248" s="538" t="s">
        <v>592</v>
      </c>
      <c r="F248" s="539">
        <v>5404</v>
      </c>
    </row>
    <row r="249" spans="1:6" ht="14.25" customHeight="1">
      <c r="A249" s="530"/>
      <c r="B249" s="545"/>
      <c r="C249" s="546"/>
      <c r="D249" s="570"/>
      <c r="E249" s="571"/>
      <c r="F249" s="539"/>
    </row>
    <row r="250" spans="1:6" ht="14.25" customHeight="1">
      <c r="A250" s="530"/>
      <c r="B250" s="545"/>
      <c r="C250" s="546"/>
      <c r="D250" s="1266" t="s">
        <v>595</v>
      </c>
      <c r="E250" s="1267"/>
      <c r="F250" s="539">
        <f>SUM(F251:F252)</f>
        <v>4500</v>
      </c>
    </row>
    <row r="251" spans="1:6">
      <c r="A251" s="530"/>
      <c r="B251" s="1268"/>
      <c r="C251" s="1269"/>
      <c r="D251" s="537" t="s">
        <v>406</v>
      </c>
      <c r="E251" s="538" t="s">
        <v>608</v>
      </c>
      <c r="F251" s="539">
        <v>1500</v>
      </c>
    </row>
    <row r="252" spans="1:6" ht="13.5" thickBot="1">
      <c r="A252" s="530"/>
      <c r="B252" s="1268"/>
      <c r="C252" s="1269"/>
      <c r="D252" s="551" t="s">
        <v>685</v>
      </c>
      <c r="E252" s="552" t="s">
        <v>675</v>
      </c>
      <c r="F252" s="553">
        <v>3000</v>
      </c>
    </row>
    <row r="253" spans="1:6" ht="17.100000000000001" customHeight="1" thickBot="1">
      <c r="A253" s="526" t="s">
        <v>7</v>
      </c>
      <c r="B253" s="1277"/>
      <c r="C253" s="1278"/>
      <c r="D253" s="527"/>
      <c r="E253" s="528" t="s">
        <v>686</v>
      </c>
      <c r="F253" s="529">
        <f>SUM(F254,F279,F284,F288,F293,F345,F349,F353)</f>
        <v>667062238</v>
      </c>
    </row>
    <row r="254" spans="1:6" ht="17.100000000000001" customHeight="1">
      <c r="A254" s="530"/>
      <c r="B254" s="1279" t="s">
        <v>126</v>
      </c>
      <c r="C254" s="1280"/>
      <c r="D254" s="531"/>
      <c r="E254" s="532" t="s">
        <v>687</v>
      </c>
      <c r="F254" s="533">
        <f>F255+F269</f>
        <v>191830671</v>
      </c>
    </row>
    <row r="255" spans="1:6" ht="17.100000000000001" customHeight="1">
      <c r="A255" s="530"/>
      <c r="B255" s="1320"/>
      <c r="C255" s="1341"/>
      <c r="D255" s="1285" t="s">
        <v>583</v>
      </c>
      <c r="E255" s="1286"/>
      <c r="F255" s="534">
        <f>F256+F261+F264</f>
        <v>56129575</v>
      </c>
    </row>
    <row r="256" spans="1:6" ht="17.100000000000001" customHeight="1">
      <c r="A256" s="530"/>
      <c r="B256" s="1342"/>
      <c r="C256" s="1343"/>
      <c r="D256" s="1287" t="s">
        <v>584</v>
      </c>
      <c r="E256" s="1291"/>
      <c r="F256" s="539">
        <f>F257</f>
        <v>888192</v>
      </c>
    </row>
    <row r="257" spans="1:7" ht="17.100000000000001" customHeight="1">
      <c r="A257" s="530"/>
      <c r="B257" s="1342"/>
      <c r="C257" s="1343"/>
      <c r="D257" s="1266" t="s">
        <v>595</v>
      </c>
      <c r="E257" s="1267"/>
      <c r="F257" s="536">
        <f>SUM(F258:F259)</f>
        <v>888192</v>
      </c>
    </row>
    <row r="258" spans="1:7" ht="17.100000000000001" customHeight="1">
      <c r="A258" s="530"/>
      <c r="B258" s="1342"/>
      <c r="C258" s="1343"/>
      <c r="D258" s="537" t="s">
        <v>604</v>
      </c>
      <c r="E258" s="538" t="s">
        <v>605</v>
      </c>
      <c r="F258" s="539">
        <v>868192</v>
      </c>
    </row>
    <row r="259" spans="1:7" ht="17.100000000000001" customHeight="1">
      <c r="A259" s="530"/>
      <c r="B259" s="1342"/>
      <c r="C259" s="1343"/>
      <c r="D259" s="537" t="s">
        <v>664</v>
      </c>
      <c r="E259" s="538" t="s">
        <v>649</v>
      </c>
      <c r="F259" s="539">
        <v>20000</v>
      </c>
    </row>
    <row r="260" spans="1:7" ht="17.100000000000001" customHeight="1">
      <c r="A260" s="530"/>
      <c r="B260" s="1342"/>
      <c r="C260" s="1343"/>
      <c r="D260" s="1268"/>
      <c r="E260" s="1270"/>
      <c r="F260" s="1271"/>
    </row>
    <row r="261" spans="1:7" ht="17.100000000000001" customHeight="1">
      <c r="A261" s="530"/>
      <c r="B261" s="1342"/>
      <c r="C261" s="1343"/>
      <c r="D261" s="1287" t="s">
        <v>643</v>
      </c>
      <c r="E261" s="1291"/>
      <c r="F261" s="539">
        <f>F262</f>
        <v>53619911</v>
      </c>
    </row>
    <row r="262" spans="1:7" ht="29.25" customHeight="1">
      <c r="A262" s="530"/>
      <c r="B262" s="1342"/>
      <c r="C262" s="1343"/>
      <c r="D262" s="537" t="s">
        <v>644</v>
      </c>
      <c r="E262" s="538" t="s">
        <v>688</v>
      </c>
      <c r="F262" s="539">
        <v>53619911</v>
      </c>
    </row>
    <row r="263" spans="1:7" ht="17.100000000000001" customHeight="1">
      <c r="A263" s="530"/>
      <c r="B263" s="1342"/>
      <c r="C263" s="1343"/>
      <c r="D263" s="1268"/>
      <c r="E263" s="1270"/>
      <c r="F263" s="1271"/>
    </row>
    <row r="264" spans="1:7">
      <c r="A264" s="530"/>
      <c r="B264" s="1342"/>
      <c r="C264" s="1343"/>
      <c r="D264" s="1287" t="s">
        <v>647</v>
      </c>
      <c r="E264" s="1291"/>
      <c r="F264" s="539">
        <f>SUM(F265:F267)</f>
        <v>1621472</v>
      </c>
    </row>
    <row r="265" spans="1:7">
      <c r="A265" s="530"/>
      <c r="B265" s="1342"/>
      <c r="C265" s="1343"/>
      <c r="D265" s="570" t="s">
        <v>406</v>
      </c>
      <c r="E265" s="538" t="s">
        <v>608</v>
      </c>
      <c r="F265" s="539">
        <v>258722</v>
      </c>
    </row>
    <row r="266" spans="1:7">
      <c r="A266" s="530"/>
      <c r="B266" s="1342"/>
      <c r="C266" s="1343"/>
      <c r="D266" s="570" t="s">
        <v>397</v>
      </c>
      <c r="E266" s="538" t="s">
        <v>608</v>
      </c>
      <c r="F266" s="539">
        <v>1185000</v>
      </c>
    </row>
    <row r="267" spans="1:7">
      <c r="A267" s="530"/>
      <c r="B267" s="1342"/>
      <c r="C267" s="1343"/>
      <c r="D267" s="570" t="s">
        <v>342</v>
      </c>
      <c r="E267" s="538" t="s">
        <v>608</v>
      </c>
      <c r="F267" s="539">
        <v>177750</v>
      </c>
    </row>
    <row r="268" spans="1:7">
      <c r="A268" s="530"/>
      <c r="B268" s="1342"/>
      <c r="C268" s="1343"/>
      <c r="D268" s="1268"/>
      <c r="E268" s="1270"/>
      <c r="F268" s="1271"/>
    </row>
    <row r="269" spans="1:7" ht="17.100000000000001" customHeight="1">
      <c r="A269" s="530"/>
      <c r="B269" s="1342"/>
      <c r="C269" s="1343"/>
      <c r="D269" s="1318" t="s">
        <v>636</v>
      </c>
      <c r="E269" s="1319"/>
      <c r="F269" s="534">
        <f>F270</f>
        <v>135701096</v>
      </c>
    </row>
    <row r="270" spans="1:7" ht="17.100000000000001" customHeight="1">
      <c r="A270" s="530"/>
      <c r="B270" s="1342"/>
      <c r="C270" s="1343"/>
      <c r="D270" s="1293" t="s">
        <v>637</v>
      </c>
      <c r="E270" s="1294"/>
      <c r="F270" s="539">
        <f>SUM(F271:F273)</f>
        <v>135701096</v>
      </c>
    </row>
    <row r="271" spans="1:7" ht="17.100000000000001" customHeight="1">
      <c r="A271" s="530"/>
      <c r="B271" s="1342"/>
      <c r="C271" s="1343"/>
      <c r="D271" s="537" t="s">
        <v>407</v>
      </c>
      <c r="E271" s="538" t="s">
        <v>655</v>
      </c>
      <c r="F271" s="539">
        <v>32855566</v>
      </c>
    </row>
    <row r="272" spans="1:7">
      <c r="A272" s="530"/>
      <c r="B272" s="1342"/>
      <c r="C272" s="1343"/>
      <c r="D272" s="537" t="s">
        <v>408</v>
      </c>
      <c r="E272" s="538" t="s">
        <v>655</v>
      </c>
      <c r="F272" s="539">
        <v>87418700</v>
      </c>
      <c r="G272" s="564"/>
    </row>
    <row r="273" spans="1:7">
      <c r="A273" s="530"/>
      <c r="B273" s="1342"/>
      <c r="C273" s="1343"/>
      <c r="D273" s="537" t="s">
        <v>689</v>
      </c>
      <c r="E273" s="538" t="s">
        <v>655</v>
      </c>
      <c r="F273" s="539">
        <v>15426830</v>
      </c>
      <c r="G273" s="564"/>
    </row>
    <row r="274" spans="1:7" ht="15">
      <c r="A274" s="530"/>
      <c r="B274" s="1342"/>
      <c r="C274" s="1343"/>
      <c r="D274" s="1268"/>
      <c r="E274" s="1315"/>
      <c r="F274" s="1316"/>
      <c r="G274" s="564"/>
    </row>
    <row r="275" spans="1:7" ht="15">
      <c r="A275" s="530"/>
      <c r="B275" s="1342"/>
      <c r="C275" s="1343"/>
      <c r="D275" s="1266" t="s">
        <v>641</v>
      </c>
      <c r="E275" s="1297"/>
      <c r="F275" s="539">
        <f>SUM(F276:F278)</f>
        <v>126500002</v>
      </c>
      <c r="G275" s="564"/>
    </row>
    <row r="276" spans="1:7">
      <c r="A276" s="530"/>
      <c r="B276" s="1342"/>
      <c r="C276" s="1343"/>
      <c r="D276" s="537" t="s">
        <v>407</v>
      </c>
      <c r="E276" s="538" t="s">
        <v>655</v>
      </c>
      <c r="F276" s="539">
        <v>23654472</v>
      </c>
      <c r="G276" s="564"/>
    </row>
    <row r="277" spans="1:7">
      <c r="A277" s="530"/>
      <c r="B277" s="1344"/>
      <c r="C277" s="1345"/>
      <c r="D277" s="537" t="s">
        <v>408</v>
      </c>
      <c r="E277" s="538" t="s">
        <v>655</v>
      </c>
      <c r="F277" s="539">
        <v>87418700</v>
      </c>
      <c r="G277" s="564"/>
    </row>
    <row r="278" spans="1:7">
      <c r="A278" s="530"/>
      <c r="B278" s="1346"/>
      <c r="C278" s="1347"/>
      <c r="D278" s="537" t="s">
        <v>689</v>
      </c>
      <c r="E278" s="538" t="s">
        <v>655</v>
      </c>
      <c r="F278" s="539">
        <v>15426830</v>
      </c>
      <c r="G278" s="564"/>
    </row>
    <row r="279" spans="1:7" ht="17.100000000000001" customHeight="1">
      <c r="A279" s="530"/>
      <c r="B279" s="1295" t="s">
        <v>690</v>
      </c>
      <c r="C279" s="1296"/>
      <c r="D279" s="542"/>
      <c r="E279" s="543" t="s">
        <v>691</v>
      </c>
      <c r="F279" s="544">
        <f>F280</f>
        <v>193228</v>
      </c>
    </row>
    <row r="280" spans="1:7" ht="17.100000000000001" customHeight="1">
      <c r="A280" s="530"/>
      <c r="B280" s="1336"/>
      <c r="C280" s="1337"/>
      <c r="D280" s="1285" t="s">
        <v>583</v>
      </c>
      <c r="E280" s="1286"/>
      <c r="F280" s="534">
        <f>F281</f>
        <v>193228</v>
      </c>
    </row>
    <row r="281" spans="1:7" ht="17.100000000000001" customHeight="1">
      <c r="A281" s="530"/>
      <c r="B281" s="1313"/>
      <c r="C281" s="1338"/>
      <c r="D281" s="1287" t="s">
        <v>584</v>
      </c>
      <c r="E281" s="1291"/>
      <c r="F281" s="539">
        <f>F282</f>
        <v>193228</v>
      </c>
    </row>
    <row r="282" spans="1:7" ht="17.100000000000001" customHeight="1">
      <c r="A282" s="530"/>
      <c r="B282" s="1313"/>
      <c r="C282" s="1338"/>
      <c r="D282" s="1266" t="s">
        <v>595</v>
      </c>
      <c r="E282" s="1267"/>
      <c r="F282" s="536">
        <f>SUM(F283)</f>
        <v>193228</v>
      </c>
    </row>
    <row r="283" spans="1:7" ht="17.100000000000001" customHeight="1">
      <c r="A283" s="530"/>
      <c r="B283" s="1339"/>
      <c r="C283" s="1340"/>
      <c r="D283" s="537" t="s">
        <v>664</v>
      </c>
      <c r="E283" s="538" t="s">
        <v>649</v>
      </c>
      <c r="F283" s="539">
        <v>193228</v>
      </c>
    </row>
    <row r="284" spans="1:7" ht="17.100000000000001" customHeight="1">
      <c r="A284" s="530"/>
      <c r="B284" s="1295" t="s">
        <v>8</v>
      </c>
      <c r="C284" s="1296"/>
      <c r="D284" s="542"/>
      <c r="E284" s="543" t="s">
        <v>236</v>
      </c>
      <c r="F284" s="579">
        <f>F285</f>
        <v>58000000</v>
      </c>
    </row>
    <row r="285" spans="1:7" ht="17.100000000000001" customHeight="1">
      <c r="A285" s="530"/>
      <c r="B285" s="1281"/>
      <c r="C285" s="1282"/>
      <c r="D285" s="1348" t="s">
        <v>583</v>
      </c>
      <c r="E285" s="1286"/>
      <c r="F285" s="534">
        <f>F286</f>
        <v>58000000</v>
      </c>
    </row>
    <row r="286" spans="1:7" ht="17.100000000000001" customHeight="1">
      <c r="A286" s="530"/>
      <c r="B286" s="1283"/>
      <c r="C286" s="1312"/>
      <c r="D286" s="1287" t="s">
        <v>643</v>
      </c>
      <c r="E286" s="1291"/>
      <c r="F286" s="580">
        <f>F287</f>
        <v>58000000</v>
      </c>
    </row>
    <row r="287" spans="1:7" ht="25.5">
      <c r="A287" s="530"/>
      <c r="B287" s="1298"/>
      <c r="C287" s="1299"/>
      <c r="D287" s="537" t="s">
        <v>9</v>
      </c>
      <c r="E287" s="538" t="s">
        <v>692</v>
      </c>
      <c r="F287" s="566">
        <v>58000000</v>
      </c>
    </row>
    <row r="288" spans="1:7" ht="17.100000000000001" customHeight="1">
      <c r="A288" s="530"/>
      <c r="B288" s="1295" t="s">
        <v>693</v>
      </c>
      <c r="C288" s="1296"/>
      <c r="D288" s="542"/>
      <c r="E288" s="543" t="s">
        <v>694</v>
      </c>
      <c r="F288" s="544">
        <f>F289</f>
        <v>509000</v>
      </c>
    </row>
    <row r="289" spans="1:6" ht="17.100000000000001" customHeight="1">
      <c r="A289" s="530"/>
      <c r="B289" s="1281"/>
      <c r="C289" s="1282"/>
      <c r="D289" s="1285" t="s">
        <v>583</v>
      </c>
      <c r="E289" s="1286"/>
      <c r="F289" s="534">
        <f>F290</f>
        <v>509000</v>
      </c>
    </row>
    <row r="290" spans="1:6" ht="17.100000000000001" customHeight="1">
      <c r="A290" s="530"/>
      <c r="B290" s="1283"/>
      <c r="C290" s="1284"/>
      <c r="D290" s="1287" t="s">
        <v>584</v>
      </c>
      <c r="E290" s="1291"/>
      <c r="F290" s="539">
        <f>F291</f>
        <v>509000</v>
      </c>
    </row>
    <row r="291" spans="1:6" ht="17.100000000000001" customHeight="1">
      <c r="A291" s="530"/>
      <c r="B291" s="1283"/>
      <c r="C291" s="1284"/>
      <c r="D291" s="1266" t="s">
        <v>595</v>
      </c>
      <c r="E291" s="1267"/>
      <c r="F291" s="539">
        <f>F292</f>
        <v>509000</v>
      </c>
    </row>
    <row r="292" spans="1:6" ht="17.100000000000001" customHeight="1">
      <c r="A292" s="530"/>
      <c r="B292" s="1298"/>
      <c r="C292" s="1299"/>
      <c r="D292" s="537" t="s">
        <v>664</v>
      </c>
      <c r="E292" s="538" t="s">
        <v>649</v>
      </c>
      <c r="F292" s="539">
        <v>509000</v>
      </c>
    </row>
    <row r="293" spans="1:6" ht="17.100000000000001" customHeight="1">
      <c r="A293" s="530"/>
      <c r="B293" s="1295" t="s">
        <v>470</v>
      </c>
      <c r="C293" s="1296"/>
      <c r="D293" s="542"/>
      <c r="E293" s="543" t="s">
        <v>695</v>
      </c>
      <c r="F293" s="544">
        <f>F294+F327</f>
        <v>413404339</v>
      </c>
    </row>
    <row r="294" spans="1:6" ht="17.100000000000001" customHeight="1">
      <c r="A294" s="530"/>
      <c r="B294" s="540"/>
      <c r="C294" s="541"/>
      <c r="D294" s="1285" t="s">
        <v>583</v>
      </c>
      <c r="E294" s="1286"/>
      <c r="F294" s="534">
        <f>F295+F324</f>
        <v>51996633</v>
      </c>
    </row>
    <row r="295" spans="1:6" ht="17.100000000000001" customHeight="1">
      <c r="A295" s="530"/>
      <c r="B295" s="540"/>
      <c r="C295" s="541"/>
      <c r="D295" s="1287" t="s">
        <v>584</v>
      </c>
      <c r="E295" s="1291"/>
      <c r="F295" s="539">
        <f>F296+F303</f>
        <v>51758333</v>
      </c>
    </row>
    <row r="296" spans="1:6" ht="17.100000000000001" customHeight="1">
      <c r="A296" s="530"/>
      <c r="B296" s="540"/>
      <c r="C296" s="541"/>
      <c r="D296" s="1289" t="s">
        <v>585</v>
      </c>
      <c r="E296" s="1292"/>
      <c r="F296" s="539">
        <f>SUM(F297:F301)</f>
        <v>14754284</v>
      </c>
    </row>
    <row r="297" spans="1:6" ht="17.100000000000001" customHeight="1">
      <c r="A297" s="530"/>
      <c r="B297" s="1268"/>
      <c r="C297" s="1269"/>
      <c r="D297" s="537" t="s">
        <v>527</v>
      </c>
      <c r="E297" s="538" t="s">
        <v>586</v>
      </c>
      <c r="F297" s="539">
        <v>11451823</v>
      </c>
    </row>
    <row r="298" spans="1:6" ht="17.100000000000001" customHeight="1">
      <c r="A298" s="530"/>
      <c r="B298" s="1268"/>
      <c r="C298" s="1269"/>
      <c r="D298" s="537" t="s">
        <v>587</v>
      </c>
      <c r="E298" s="538" t="s">
        <v>588</v>
      </c>
      <c r="F298" s="539">
        <v>874773</v>
      </c>
    </row>
    <row r="299" spans="1:6" ht="17.100000000000001" customHeight="1">
      <c r="A299" s="530"/>
      <c r="B299" s="1268"/>
      <c r="C299" s="1269"/>
      <c r="D299" s="537" t="s">
        <v>589</v>
      </c>
      <c r="E299" s="538" t="s">
        <v>590</v>
      </c>
      <c r="F299" s="539">
        <v>2102231</v>
      </c>
    </row>
    <row r="300" spans="1:6" ht="17.100000000000001" customHeight="1">
      <c r="A300" s="530"/>
      <c r="B300" s="1268"/>
      <c r="C300" s="1269"/>
      <c r="D300" s="537" t="s">
        <v>591</v>
      </c>
      <c r="E300" s="538" t="s">
        <v>592</v>
      </c>
      <c r="F300" s="539">
        <v>292974</v>
      </c>
    </row>
    <row r="301" spans="1:6" ht="17.100000000000001" customHeight="1">
      <c r="A301" s="530"/>
      <c r="B301" s="1268"/>
      <c r="C301" s="1269"/>
      <c r="D301" s="537" t="s">
        <v>593</v>
      </c>
      <c r="E301" s="538" t="s">
        <v>594</v>
      </c>
      <c r="F301" s="539">
        <v>32483</v>
      </c>
    </row>
    <row r="302" spans="1:6" ht="17.100000000000001" customHeight="1">
      <c r="A302" s="530"/>
      <c r="B302" s="540"/>
      <c r="C302" s="541"/>
      <c r="D302" s="1268"/>
      <c r="E302" s="1270"/>
      <c r="F302" s="1271"/>
    </row>
    <row r="303" spans="1:6" ht="17.100000000000001" customHeight="1">
      <c r="A303" s="530"/>
      <c r="B303" s="540"/>
      <c r="C303" s="541"/>
      <c r="D303" s="1266" t="s">
        <v>595</v>
      </c>
      <c r="E303" s="1267"/>
      <c r="F303" s="539">
        <f>SUM(F304:F322)</f>
        <v>37004049</v>
      </c>
    </row>
    <row r="304" spans="1:6" ht="17.100000000000001" customHeight="1">
      <c r="A304" s="530"/>
      <c r="B304" s="540"/>
      <c r="C304" s="541"/>
      <c r="D304" s="537" t="s">
        <v>596</v>
      </c>
      <c r="E304" s="538" t="s">
        <v>597</v>
      </c>
      <c r="F304" s="539">
        <v>182256</v>
      </c>
    </row>
    <row r="305" spans="1:9" ht="17.100000000000001" customHeight="1">
      <c r="A305" s="530"/>
      <c r="B305" s="1268"/>
      <c r="C305" s="1269"/>
      <c r="D305" s="537" t="s">
        <v>598</v>
      </c>
      <c r="E305" s="538" t="s">
        <v>599</v>
      </c>
      <c r="F305" s="539">
        <v>5905000</v>
      </c>
    </row>
    <row r="306" spans="1:9" ht="17.100000000000001" customHeight="1">
      <c r="A306" s="530"/>
      <c r="B306" s="1268"/>
      <c r="C306" s="1269"/>
      <c r="D306" s="537" t="s">
        <v>602</v>
      </c>
      <c r="E306" s="538" t="s">
        <v>603</v>
      </c>
      <c r="F306" s="539">
        <v>668000</v>
      </c>
    </row>
    <row r="307" spans="1:9" ht="17.100000000000001" customHeight="1">
      <c r="A307" s="530"/>
      <c r="B307" s="1268"/>
      <c r="C307" s="1269"/>
      <c r="D307" s="537" t="s">
        <v>604</v>
      </c>
      <c r="E307" s="538" t="s">
        <v>605</v>
      </c>
      <c r="F307" s="539">
        <v>14731526</v>
      </c>
    </row>
    <row r="308" spans="1:9" ht="17.100000000000001" customHeight="1">
      <c r="A308" s="530"/>
      <c r="B308" s="1268"/>
      <c r="C308" s="1269"/>
      <c r="D308" s="537" t="s">
        <v>606</v>
      </c>
      <c r="E308" s="538" t="s">
        <v>607</v>
      </c>
      <c r="F308" s="539">
        <v>43000</v>
      </c>
    </row>
    <row r="309" spans="1:9" ht="17.100000000000001" customHeight="1">
      <c r="A309" s="530"/>
      <c r="B309" s="1268"/>
      <c r="C309" s="1269"/>
      <c r="D309" s="537" t="s">
        <v>406</v>
      </c>
      <c r="E309" s="538" t="s">
        <v>608</v>
      </c>
      <c r="F309" s="539">
        <f>20000+13152100</f>
        <v>13172100</v>
      </c>
      <c r="H309" s="514" t="s">
        <v>696</v>
      </c>
      <c r="I309" s="514" t="s">
        <v>697</v>
      </c>
    </row>
    <row r="310" spans="1:9" ht="16.5" customHeight="1">
      <c r="A310" s="530"/>
      <c r="B310" s="1268"/>
      <c r="C310" s="1269"/>
      <c r="D310" s="537" t="s">
        <v>609</v>
      </c>
      <c r="E310" s="538" t="s">
        <v>610</v>
      </c>
      <c r="F310" s="539">
        <v>75000</v>
      </c>
    </row>
    <row r="311" spans="1:9" ht="17.100000000000001" customHeight="1">
      <c r="A311" s="530"/>
      <c r="B311" s="1268"/>
      <c r="C311" s="1269"/>
      <c r="D311" s="537" t="s">
        <v>664</v>
      </c>
      <c r="E311" s="538" t="s">
        <v>649</v>
      </c>
      <c r="F311" s="539">
        <v>752000</v>
      </c>
    </row>
    <row r="312" spans="1:9" ht="17.100000000000001" customHeight="1">
      <c r="A312" s="530"/>
      <c r="B312" s="1268"/>
      <c r="C312" s="1269"/>
      <c r="D312" s="537" t="s">
        <v>613</v>
      </c>
      <c r="E312" s="538" t="s">
        <v>614</v>
      </c>
      <c r="F312" s="539">
        <v>20000</v>
      </c>
    </row>
    <row r="313" spans="1:9" ht="17.100000000000001" hidden="1" customHeight="1">
      <c r="A313" s="530"/>
      <c r="B313" s="1268"/>
      <c r="C313" s="1269"/>
      <c r="D313" s="537" t="s">
        <v>698</v>
      </c>
      <c r="E313" s="538" t="s">
        <v>614</v>
      </c>
      <c r="F313" s="539"/>
    </row>
    <row r="314" spans="1:9" ht="17.100000000000001" customHeight="1">
      <c r="A314" s="530"/>
      <c r="B314" s="540"/>
      <c r="C314" s="541"/>
      <c r="D314" s="537" t="s">
        <v>698</v>
      </c>
      <c r="E314" s="538" t="s">
        <v>699</v>
      </c>
      <c r="F314" s="539">
        <v>10000</v>
      </c>
    </row>
    <row r="315" spans="1:9" ht="17.100000000000001" customHeight="1">
      <c r="A315" s="530"/>
      <c r="B315" s="1268"/>
      <c r="C315" s="1269"/>
      <c r="D315" s="537" t="s">
        <v>615</v>
      </c>
      <c r="E315" s="538" t="s">
        <v>616</v>
      </c>
      <c r="F315" s="539">
        <v>730000</v>
      </c>
    </row>
    <row r="316" spans="1:9" ht="17.100000000000001" customHeight="1">
      <c r="A316" s="530"/>
      <c r="B316" s="1268"/>
      <c r="C316" s="1269"/>
      <c r="D316" s="537" t="s">
        <v>617</v>
      </c>
      <c r="E316" s="538" t="s">
        <v>618</v>
      </c>
      <c r="F316" s="539">
        <v>251567</v>
      </c>
    </row>
    <row r="317" spans="1:9" ht="17.100000000000001" customHeight="1">
      <c r="A317" s="530"/>
      <c r="B317" s="1268"/>
      <c r="C317" s="1269"/>
      <c r="D317" s="537" t="s">
        <v>619</v>
      </c>
      <c r="E317" s="538" t="s">
        <v>620</v>
      </c>
      <c r="F317" s="539">
        <v>126000</v>
      </c>
    </row>
    <row r="318" spans="1:9" ht="17.100000000000001" customHeight="1">
      <c r="A318" s="530"/>
      <c r="B318" s="1268"/>
      <c r="C318" s="1269"/>
      <c r="D318" s="537" t="s">
        <v>639</v>
      </c>
      <c r="E318" s="538" t="s">
        <v>640</v>
      </c>
      <c r="F318" s="539">
        <v>17000</v>
      </c>
    </row>
    <row r="319" spans="1:9" ht="17.100000000000001" customHeight="1">
      <c r="A319" s="530"/>
      <c r="B319" s="1268"/>
      <c r="C319" s="1269"/>
      <c r="D319" s="537" t="s">
        <v>623</v>
      </c>
      <c r="E319" s="538" t="s">
        <v>624</v>
      </c>
      <c r="F319" s="539">
        <v>160600</v>
      </c>
    </row>
    <row r="320" spans="1:9" ht="17.100000000000001" customHeight="1">
      <c r="A320" s="530"/>
      <c r="B320" s="540"/>
      <c r="C320" s="541"/>
      <c r="D320" s="537" t="s">
        <v>700</v>
      </c>
      <c r="E320" s="538" t="s">
        <v>701</v>
      </c>
      <c r="F320" s="539">
        <v>50000</v>
      </c>
    </row>
    <row r="321" spans="1:7" ht="17.100000000000001" customHeight="1">
      <c r="A321" s="530"/>
      <c r="B321" s="540"/>
      <c r="C321" s="541"/>
      <c r="D321" s="537" t="s">
        <v>634</v>
      </c>
      <c r="E321" s="538" t="s">
        <v>635</v>
      </c>
      <c r="F321" s="539">
        <v>50000</v>
      </c>
    </row>
    <row r="322" spans="1:7" ht="17.100000000000001" customHeight="1">
      <c r="A322" s="530"/>
      <c r="B322" s="1268"/>
      <c r="C322" s="1269"/>
      <c r="D322" s="537" t="s">
        <v>627</v>
      </c>
      <c r="E322" s="538" t="s">
        <v>628</v>
      </c>
      <c r="F322" s="539">
        <v>60000</v>
      </c>
    </row>
    <row r="323" spans="1:7" ht="17.100000000000001" customHeight="1">
      <c r="A323" s="530"/>
      <c r="B323" s="540"/>
      <c r="C323" s="541"/>
      <c r="D323" s="1268"/>
      <c r="E323" s="1270"/>
      <c r="F323" s="1271"/>
    </row>
    <row r="324" spans="1:7" ht="17.100000000000001" customHeight="1">
      <c r="A324" s="530"/>
      <c r="B324" s="540"/>
      <c r="C324" s="541"/>
      <c r="D324" s="1293" t="s">
        <v>629</v>
      </c>
      <c r="E324" s="1294"/>
      <c r="F324" s="539">
        <f>F325</f>
        <v>238300</v>
      </c>
    </row>
    <row r="325" spans="1:7" ht="17.100000000000001" customHeight="1">
      <c r="A325" s="530"/>
      <c r="B325" s="540"/>
      <c r="C325" s="541"/>
      <c r="D325" s="537" t="s">
        <v>630</v>
      </c>
      <c r="E325" s="538" t="s">
        <v>631</v>
      </c>
      <c r="F325" s="539">
        <v>238300</v>
      </c>
    </row>
    <row r="326" spans="1:7" ht="17.100000000000001" customHeight="1">
      <c r="A326" s="530"/>
      <c r="B326" s="540"/>
      <c r="C326" s="541"/>
      <c r="D326" s="1268"/>
      <c r="E326" s="1270"/>
      <c r="F326" s="1271"/>
    </row>
    <row r="327" spans="1:7" ht="17.100000000000001" customHeight="1">
      <c r="A327" s="530"/>
      <c r="B327" s="540"/>
      <c r="C327" s="541"/>
      <c r="D327" s="1318" t="s">
        <v>636</v>
      </c>
      <c r="E327" s="1319"/>
      <c r="F327" s="534">
        <f>F328</f>
        <v>361407706</v>
      </c>
    </row>
    <row r="328" spans="1:7" ht="17.100000000000001" customHeight="1">
      <c r="A328" s="530"/>
      <c r="B328" s="540"/>
      <c r="C328" s="541"/>
      <c r="D328" s="1293" t="s">
        <v>702</v>
      </c>
      <c r="E328" s="1294"/>
      <c r="F328" s="539">
        <f>SUM(F329:F335)</f>
        <v>361407706</v>
      </c>
    </row>
    <row r="329" spans="1:7" ht="17.100000000000001" customHeight="1">
      <c r="A329" s="530"/>
      <c r="B329" s="1268"/>
      <c r="C329" s="1269"/>
      <c r="D329" s="537" t="s">
        <v>471</v>
      </c>
      <c r="E329" s="538" t="s">
        <v>638</v>
      </c>
      <c r="F329" s="539">
        <v>23559318</v>
      </c>
    </row>
    <row r="330" spans="1:7" ht="17.100000000000001" customHeight="1">
      <c r="A330" s="530"/>
      <c r="B330" s="1268"/>
      <c r="C330" s="1269"/>
      <c r="D330" s="537" t="s">
        <v>414</v>
      </c>
      <c r="E330" s="538" t="s">
        <v>638</v>
      </c>
      <c r="F330" s="539">
        <v>241900840</v>
      </c>
      <c r="G330" s="564"/>
    </row>
    <row r="331" spans="1:7" ht="17.100000000000001" customHeight="1">
      <c r="A331" s="530"/>
      <c r="B331" s="540"/>
      <c r="C331" s="541"/>
      <c r="D331" s="537" t="s">
        <v>351</v>
      </c>
      <c r="E331" s="538" t="s">
        <v>638</v>
      </c>
      <c r="F331" s="539">
        <v>8500000</v>
      </c>
      <c r="G331" s="564"/>
    </row>
    <row r="332" spans="1:7" ht="17.100000000000001" customHeight="1">
      <c r="A332" s="530"/>
      <c r="B332" s="1268"/>
      <c r="C332" s="1269"/>
      <c r="D332" s="537" t="s">
        <v>472</v>
      </c>
      <c r="E332" s="538" t="s">
        <v>638</v>
      </c>
      <c r="F332" s="539">
        <v>47367547</v>
      </c>
    </row>
    <row r="333" spans="1:7" ht="17.100000000000001" customHeight="1">
      <c r="A333" s="530"/>
      <c r="B333" s="1268"/>
      <c r="C333" s="1269"/>
      <c r="D333" s="537" t="s">
        <v>407</v>
      </c>
      <c r="E333" s="538" t="s">
        <v>655</v>
      </c>
      <c r="F333" s="539">
        <v>6520690</v>
      </c>
      <c r="G333" s="564"/>
    </row>
    <row r="334" spans="1:7" ht="17.100000000000001" customHeight="1">
      <c r="A334" s="530"/>
      <c r="B334" s="1268"/>
      <c r="C334" s="1269"/>
      <c r="D334" s="537" t="s">
        <v>408</v>
      </c>
      <c r="E334" s="538" t="s">
        <v>655</v>
      </c>
      <c r="F334" s="539">
        <v>28525414</v>
      </c>
    </row>
    <row r="335" spans="1:7" ht="17.100000000000001" customHeight="1">
      <c r="A335" s="530"/>
      <c r="B335" s="1268"/>
      <c r="C335" s="1269"/>
      <c r="D335" s="537" t="s">
        <v>689</v>
      </c>
      <c r="E335" s="538" t="s">
        <v>655</v>
      </c>
      <c r="F335" s="539">
        <v>5033897</v>
      </c>
    </row>
    <row r="336" spans="1:7" ht="17.100000000000001" customHeight="1">
      <c r="A336" s="530"/>
      <c r="B336" s="540"/>
      <c r="C336" s="581"/>
      <c r="D336" s="1268"/>
      <c r="E336" s="1315"/>
      <c r="F336" s="1316"/>
    </row>
    <row r="337" spans="1:6" ht="17.100000000000001" customHeight="1">
      <c r="A337" s="530"/>
      <c r="B337" s="540"/>
      <c r="C337" s="581"/>
      <c r="D337" s="1266" t="s">
        <v>641</v>
      </c>
      <c r="E337" s="1297"/>
      <c r="F337" s="539">
        <f>SUM(F338:F344)</f>
        <v>337280539</v>
      </c>
    </row>
    <row r="338" spans="1:6" ht="17.100000000000001" customHeight="1">
      <c r="A338" s="530"/>
      <c r="B338" s="540"/>
      <c r="C338" s="581"/>
      <c r="D338" s="557" t="s">
        <v>471</v>
      </c>
      <c r="E338" s="558" t="s">
        <v>638</v>
      </c>
      <c r="F338" s="539">
        <v>2612151</v>
      </c>
    </row>
    <row r="339" spans="1:6" ht="17.100000000000001" customHeight="1">
      <c r="A339" s="530"/>
      <c r="B339" s="540"/>
      <c r="C339" s="581"/>
      <c r="D339" s="557" t="s">
        <v>414</v>
      </c>
      <c r="E339" s="582" t="s">
        <v>638</v>
      </c>
      <c r="F339" s="539">
        <v>241900840</v>
      </c>
    </row>
    <row r="340" spans="1:6" ht="17.100000000000001" customHeight="1">
      <c r="A340" s="530"/>
      <c r="B340" s="540"/>
      <c r="C340" s="581"/>
      <c r="D340" s="557" t="s">
        <v>351</v>
      </c>
      <c r="E340" s="582" t="s">
        <v>638</v>
      </c>
      <c r="F340" s="539">
        <v>8500000</v>
      </c>
    </row>
    <row r="341" spans="1:6" ht="17.100000000000001" customHeight="1">
      <c r="A341" s="530"/>
      <c r="B341" s="540"/>
      <c r="C341" s="581"/>
      <c r="D341" s="537" t="s">
        <v>472</v>
      </c>
      <c r="E341" s="538" t="s">
        <v>638</v>
      </c>
      <c r="F341" s="539">
        <v>47367547</v>
      </c>
    </row>
    <row r="342" spans="1:6" ht="17.100000000000001" customHeight="1">
      <c r="A342" s="530"/>
      <c r="B342" s="540"/>
      <c r="C342" s="581"/>
      <c r="D342" s="537" t="s">
        <v>407</v>
      </c>
      <c r="E342" s="538" t="s">
        <v>655</v>
      </c>
      <c r="F342" s="539">
        <v>3340690</v>
      </c>
    </row>
    <row r="343" spans="1:6" ht="17.100000000000001" customHeight="1">
      <c r="A343" s="530"/>
      <c r="B343" s="540"/>
      <c r="C343" s="581"/>
      <c r="D343" s="537" t="s">
        <v>408</v>
      </c>
      <c r="E343" s="538" t="s">
        <v>655</v>
      </c>
      <c r="F343" s="539">
        <v>28525414</v>
      </c>
    </row>
    <row r="344" spans="1:6" ht="17.100000000000001" customHeight="1">
      <c r="A344" s="530"/>
      <c r="B344" s="540"/>
      <c r="C344" s="581"/>
      <c r="D344" s="537" t="s">
        <v>689</v>
      </c>
      <c r="E344" s="538" t="s">
        <v>655</v>
      </c>
      <c r="F344" s="539">
        <v>5033897</v>
      </c>
    </row>
    <row r="345" spans="1:6" ht="15" customHeight="1">
      <c r="A345" s="530"/>
      <c r="B345" s="1295" t="s">
        <v>127</v>
      </c>
      <c r="C345" s="1349"/>
      <c r="D345" s="583"/>
      <c r="E345" s="543" t="s">
        <v>703</v>
      </c>
      <c r="F345" s="544">
        <f>F346</f>
        <v>1050000</v>
      </c>
    </row>
    <row r="346" spans="1:6">
      <c r="A346" s="530"/>
      <c r="B346" s="540"/>
      <c r="C346" s="541"/>
      <c r="D346" s="1318" t="s">
        <v>704</v>
      </c>
      <c r="E346" s="1319"/>
      <c r="F346" s="539">
        <f>F347</f>
        <v>1050000</v>
      </c>
    </row>
    <row r="347" spans="1:6">
      <c r="A347" s="530"/>
      <c r="B347" s="540"/>
      <c r="C347" s="541"/>
      <c r="D347" s="1293" t="s">
        <v>705</v>
      </c>
      <c r="E347" s="1294"/>
      <c r="F347" s="539">
        <f>F348</f>
        <v>1050000</v>
      </c>
    </row>
    <row r="348" spans="1:6" ht="38.25">
      <c r="A348" s="530"/>
      <c r="B348" s="540"/>
      <c r="C348" s="541"/>
      <c r="D348" s="551" t="s">
        <v>706</v>
      </c>
      <c r="E348" s="552" t="s">
        <v>707</v>
      </c>
      <c r="F348" s="553">
        <v>1050000</v>
      </c>
    </row>
    <row r="349" spans="1:6" ht="24" customHeight="1">
      <c r="A349" s="530"/>
      <c r="B349" s="1295" t="s">
        <v>128</v>
      </c>
      <c r="C349" s="1349"/>
      <c r="D349" s="584"/>
      <c r="E349" s="585" t="s">
        <v>129</v>
      </c>
      <c r="F349" s="586">
        <f>F350</f>
        <v>2000000</v>
      </c>
    </row>
    <row r="350" spans="1:6" ht="21" customHeight="1">
      <c r="A350" s="530"/>
      <c r="B350" s="1350"/>
      <c r="C350" s="1351"/>
      <c r="D350" s="1352" t="s">
        <v>636</v>
      </c>
      <c r="E350" s="1353"/>
      <c r="F350" s="553">
        <f>F351</f>
        <v>2000000</v>
      </c>
    </row>
    <row r="351" spans="1:6" ht="18" customHeight="1">
      <c r="A351" s="530"/>
      <c r="B351" s="1268"/>
      <c r="C351" s="1270"/>
      <c r="D351" s="1293" t="s">
        <v>702</v>
      </c>
      <c r="E351" s="1294"/>
      <c r="F351" s="553">
        <f>F352</f>
        <v>2000000</v>
      </c>
    </row>
    <row r="352" spans="1:6" ht="45" customHeight="1">
      <c r="A352" s="530"/>
      <c r="B352" s="1303"/>
      <c r="C352" s="1304"/>
      <c r="D352" s="551" t="s">
        <v>706</v>
      </c>
      <c r="E352" s="552" t="s">
        <v>707</v>
      </c>
      <c r="F352" s="553">
        <v>2000000</v>
      </c>
    </row>
    <row r="353" spans="1:6" ht="17.100000000000001" customHeight="1">
      <c r="A353" s="530"/>
      <c r="B353" s="1295" t="s">
        <v>237</v>
      </c>
      <c r="C353" s="1296"/>
      <c r="D353" s="542"/>
      <c r="E353" s="543" t="s">
        <v>238</v>
      </c>
      <c r="F353" s="544">
        <f>F354</f>
        <v>75000</v>
      </c>
    </row>
    <row r="354" spans="1:6" ht="17.100000000000001" customHeight="1">
      <c r="A354" s="530"/>
      <c r="B354" s="1281"/>
      <c r="C354" s="1282"/>
      <c r="D354" s="1285" t="s">
        <v>583</v>
      </c>
      <c r="E354" s="1286"/>
      <c r="F354" s="534">
        <f>F355</f>
        <v>75000</v>
      </c>
    </row>
    <row r="355" spans="1:6" ht="17.100000000000001" customHeight="1">
      <c r="A355" s="530"/>
      <c r="B355" s="1283"/>
      <c r="C355" s="1284"/>
      <c r="D355" s="1287" t="s">
        <v>584</v>
      </c>
      <c r="E355" s="1291"/>
      <c r="F355" s="539">
        <f>F356</f>
        <v>75000</v>
      </c>
    </row>
    <row r="356" spans="1:6" ht="17.100000000000001" customHeight="1">
      <c r="A356" s="530"/>
      <c r="B356" s="1283"/>
      <c r="C356" s="1284"/>
      <c r="D356" s="1266" t="s">
        <v>595</v>
      </c>
      <c r="E356" s="1267"/>
      <c r="F356" s="539">
        <f>F357</f>
        <v>75000</v>
      </c>
    </row>
    <row r="357" spans="1:6" ht="17.100000000000001" customHeight="1" thickBot="1">
      <c r="A357" s="530"/>
      <c r="B357" s="1283"/>
      <c r="C357" s="1284"/>
      <c r="D357" s="551" t="s">
        <v>406</v>
      </c>
      <c r="E357" s="552" t="s">
        <v>608</v>
      </c>
      <c r="F357" s="553">
        <v>75000</v>
      </c>
    </row>
    <row r="358" spans="1:6" ht="17.100000000000001" customHeight="1" thickBot="1">
      <c r="A358" s="526" t="s">
        <v>130</v>
      </c>
      <c r="B358" s="1277"/>
      <c r="C358" s="1278"/>
      <c r="D358" s="527"/>
      <c r="E358" s="528" t="s">
        <v>708</v>
      </c>
      <c r="F358" s="529">
        <f>F359+F367</f>
        <v>590000</v>
      </c>
    </row>
    <row r="359" spans="1:6" ht="17.100000000000001" customHeight="1">
      <c r="A359" s="530"/>
      <c r="B359" s="1279" t="s">
        <v>131</v>
      </c>
      <c r="C359" s="1280"/>
      <c r="D359" s="531"/>
      <c r="E359" s="532" t="s">
        <v>709</v>
      </c>
      <c r="F359" s="533">
        <f>F360</f>
        <v>550000</v>
      </c>
    </row>
    <row r="360" spans="1:6" ht="17.100000000000001" customHeight="1">
      <c r="A360" s="530"/>
      <c r="B360" s="1350"/>
      <c r="C360" s="1359"/>
      <c r="D360" s="1285" t="s">
        <v>583</v>
      </c>
      <c r="E360" s="1286"/>
      <c r="F360" s="534">
        <f>F361+F365</f>
        <v>550000</v>
      </c>
    </row>
    <row r="361" spans="1:6" ht="17.100000000000001" customHeight="1">
      <c r="A361" s="530"/>
      <c r="B361" s="540"/>
      <c r="C361" s="541"/>
      <c r="D361" s="1287" t="s">
        <v>584</v>
      </c>
      <c r="E361" s="1291"/>
      <c r="F361" s="539">
        <f>F362</f>
        <v>450000</v>
      </c>
    </row>
    <row r="362" spans="1:6" ht="17.100000000000001" customHeight="1">
      <c r="A362" s="530"/>
      <c r="B362" s="540"/>
      <c r="C362" s="541"/>
      <c r="D362" s="1266" t="s">
        <v>595</v>
      </c>
      <c r="E362" s="1267"/>
      <c r="F362" s="539">
        <f>F363</f>
        <v>450000</v>
      </c>
    </row>
    <row r="363" spans="1:6" ht="17.100000000000001" customHeight="1">
      <c r="A363" s="530"/>
      <c r="B363" s="540"/>
      <c r="C363" s="541"/>
      <c r="D363" s="537" t="s">
        <v>615</v>
      </c>
      <c r="E363" s="538" t="s">
        <v>616</v>
      </c>
      <c r="F363" s="539">
        <v>450000</v>
      </c>
    </row>
    <row r="364" spans="1:6" ht="17.100000000000001" customHeight="1">
      <c r="A364" s="530"/>
      <c r="B364" s="540"/>
      <c r="C364" s="541"/>
      <c r="D364" s="557"/>
      <c r="E364" s="549"/>
      <c r="F364" s="539"/>
    </row>
    <row r="365" spans="1:6" ht="17.100000000000001" customHeight="1">
      <c r="A365" s="530"/>
      <c r="B365" s="540"/>
      <c r="C365" s="541"/>
      <c r="D365" s="1293" t="s">
        <v>643</v>
      </c>
      <c r="E365" s="1294"/>
      <c r="F365" s="539">
        <f>F366</f>
        <v>100000</v>
      </c>
    </row>
    <row r="366" spans="1:6" ht="38.25">
      <c r="A366" s="530"/>
      <c r="B366" s="540"/>
      <c r="C366" s="541"/>
      <c r="D366" s="537" t="s">
        <v>665</v>
      </c>
      <c r="E366" s="538" t="s">
        <v>710</v>
      </c>
      <c r="F366" s="539">
        <v>100000</v>
      </c>
    </row>
    <row r="367" spans="1:6" ht="17.100000000000001" customHeight="1">
      <c r="A367" s="530"/>
      <c r="B367" s="1295" t="s">
        <v>711</v>
      </c>
      <c r="C367" s="1296"/>
      <c r="D367" s="542"/>
      <c r="E367" s="543" t="s">
        <v>238</v>
      </c>
      <c r="F367" s="544">
        <f>SUM(F368)</f>
        <v>40000</v>
      </c>
    </row>
    <row r="368" spans="1:6" ht="17.100000000000001" customHeight="1">
      <c r="A368" s="530"/>
      <c r="B368" s="1354"/>
      <c r="C368" s="1321"/>
      <c r="D368" s="1356" t="s">
        <v>583</v>
      </c>
      <c r="E368" s="1357"/>
      <c r="F368" s="587">
        <f>F369</f>
        <v>40000</v>
      </c>
    </row>
    <row r="369" spans="1:7" ht="16.5" customHeight="1">
      <c r="A369" s="530"/>
      <c r="B369" s="1322"/>
      <c r="C369" s="1323"/>
      <c r="D369" s="1358" t="s">
        <v>584</v>
      </c>
      <c r="E369" s="1357"/>
      <c r="F369" s="588">
        <f>F370</f>
        <v>40000</v>
      </c>
    </row>
    <row r="370" spans="1:7" ht="16.5" customHeight="1">
      <c r="A370" s="530"/>
      <c r="B370" s="1322"/>
      <c r="C370" s="1323"/>
      <c r="D370" s="1317" t="s">
        <v>595</v>
      </c>
      <c r="E370" s="1267"/>
      <c r="F370" s="588">
        <f>F371</f>
        <v>40000</v>
      </c>
    </row>
    <row r="371" spans="1:7" ht="16.5" customHeight="1" thickBot="1">
      <c r="A371" s="530"/>
      <c r="B371" s="1322"/>
      <c r="C371" s="1355"/>
      <c r="D371" s="578" t="s">
        <v>406</v>
      </c>
      <c r="E371" s="589" t="s">
        <v>608</v>
      </c>
      <c r="F371" s="590">
        <v>40000</v>
      </c>
    </row>
    <row r="372" spans="1:7" ht="17.100000000000001" customHeight="1" thickBot="1">
      <c r="A372" s="526" t="s">
        <v>712</v>
      </c>
      <c r="B372" s="1277"/>
      <c r="C372" s="1278"/>
      <c r="D372" s="527"/>
      <c r="E372" s="528" t="s">
        <v>713</v>
      </c>
      <c r="F372" s="529">
        <f>F373</f>
        <v>815000</v>
      </c>
      <c r="G372" s="564"/>
    </row>
    <row r="373" spans="1:7" ht="17.100000000000001" customHeight="1">
      <c r="A373" s="530"/>
      <c r="B373" s="1279" t="s">
        <v>714</v>
      </c>
      <c r="C373" s="1280"/>
      <c r="D373" s="531"/>
      <c r="E373" s="532" t="s">
        <v>715</v>
      </c>
      <c r="F373" s="533">
        <f>F374</f>
        <v>815000</v>
      </c>
    </row>
    <row r="374" spans="1:7" ht="17.100000000000001" customHeight="1">
      <c r="A374" s="530"/>
      <c r="B374" s="545"/>
      <c r="C374" s="546"/>
      <c r="D374" s="1285" t="s">
        <v>583</v>
      </c>
      <c r="E374" s="1286"/>
      <c r="F374" s="534">
        <f>F375</f>
        <v>815000</v>
      </c>
    </row>
    <row r="375" spans="1:7" ht="17.100000000000001" customHeight="1">
      <c r="A375" s="530"/>
      <c r="B375" s="545"/>
      <c r="C375" s="546"/>
      <c r="D375" s="1287" t="s">
        <v>584</v>
      </c>
      <c r="E375" s="1291"/>
      <c r="F375" s="539">
        <f>F376</f>
        <v>815000</v>
      </c>
    </row>
    <row r="376" spans="1:7" ht="17.100000000000001" customHeight="1">
      <c r="A376" s="530"/>
      <c r="B376" s="545"/>
      <c r="C376" s="546"/>
      <c r="D376" s="1266" t="s">
        <v>595</v>
      </c>
      <c r="E376" s="1267"/>
      <c r="F376" s="539">
        <f>SUM(F377:F384)</f>
        <v>815000</v>
      </c>
    </row>
    <row r="377" spans="1:7" ht="17.100000000000001" customHeight="1">
      <c r="A377" s="530"/>
      <c r="B377" s="1268"/>
      <c r="C377" s="1269"/>
      <c r="D377" s="537" t="s">
        <v>598</v>
      </c>
      <c r="E377" s="538" t="s">
        <v>599</v>
      </c>
      <c r="F377" s="539">
        <v>10000</v>
      </c>
    </row>
    <row r="378" spans="1:7" ht="17.100000000000001" customHeight="1">
      <c r="A378" s="530"/>
      <c r="B378" s="1268"/>
      <c r="C378" s="1269"/>
      <c r="D378" s="537" t="s">
        <v>602</v>
      </c>
      <c r="E378" s="538" t="s">
        <v>603</v>
      </c>
      <c r="F378" s="539">
        <v>10000</v>
      </c>
    </row>
    <row r="379" spans="1:7" ht="17.100000000000001" customHeight="1">
      <c r="A379" s="530"/>
      <c r="B379" s="1268"/>
      <c r="C379" s="1269"/>
      <c r="D379" s="537" t="s">
        <v>604</v>
      </c>
      <c r="E379" s="538" t="s">
        <v>605</v>
      </c>
      <c r="F379" s="539">
        <v>20000</v>
      </c>
    </row>
    <row r="380" spans="1:7" ht="17.100000000000001" customHeight="1">
      <c r="A380" s="530"/>
      <c r="B380" s="1268"/>
      <c r="C380" s="1269"/>
      <c r="D380" s="537" t="s">
        <v>406</v>
      </c>
      <c r="E380" s="538" t="s">
        <v>608</v>
      </c>
      <c r="F380" s="539">
        <v>350000</v>
      </c>
    </row>
    <row r="381" spans="1:7" ht="17.100000000000001" customHeight="1">
      <c r="A381" s="530"/>
      <c r="B381" s="1268"/>
      <c r="C381" s="1269"/>
      <c r="D381" s="537" t="s">
        <v>619</v>
      </c>
      <c r="E381" s="538" t="s">
        <v>620</v>
      </c>
      <c r="F381" s="539">
        <v>100000</v>
      </c>
    </row>
    <row r="382" spans="1:7" ht="17.100000000000001" customHeight="1">
      <c r="A382" s="530"/>
      <c r="B382" s="1268"/>
      <c r="C382" s="1269"/>
      <c r="D382" s="537" t="s">
        <v>623</v>
      </c>
      <c r="E382" s="538" t="s">
        <v>624</v>
      </c>
      <c r="F382" s="539">
        <v>270000</v>
      </c>
    </row>
    <row r="383" spans="1:7" ht="17.100000000000001" customHeight="1">
      <c r="A383" s="530"/>
      <c r="B383" s="540"/>
      <c r="C383" s="541"/>
      <c r="D383" s="537" t="s">
        <v>700</v>
      </c>
      <c r="E383" s="538" t="s">
        <v>701</v>
      </c>
      <c r="F383" s="539">
        <v>25000</v>
      </c>
    </row>
    <row r="384" spans="1:7" ht="17.100000000000001" customHeight="1" thickBot="1">
      <c r="A384" s="530"/>
      <c r="B384" s="1268"/>
      <c r="C384" s="1269"/>
      <c r="D384" s="551" t="s">
        <v>634</v>
      </c>
      <c r="E384" s="552" t="s">
        <v>635</v>
      </c>
      <c r="F384" s="553">
        <v>30000</v>
      </c>
    </row>
    <row r="385" spans="1:6" ht="17.100000000000001" customHeight="1" thickBot="1">
      <c r="A385" s="526" t="s">
        <v>239</v>
      </c>
      <c r="B385" s="1277"/>
      <c r="C385" s="1278"/>
      <c r="D385" s="527"/>
      <c r="E385" s="528" t="s">
        <v>716</v>
      </c>
      <c r="F385" s="529">
        <f>SUM(F386,F416,F443)</f>
        <v>6069563</v>
      </c>
    </row>
    <row r="386" spans="1:6" ht="17.100000000000001" customHeight="1">
      <c r="A386" s="530"/>
      <c r="B386" s="1279" t="s">
        <v>717</v>
      </c>
      <c r="C386" s="1280"/>
      <c r="D386" s="531"/>
      <c r="E386" s="532" t="s">
        <v>718</v>
      </c>
      <c r="F386" s="533">
        <f>F387</f>
        <v>4116920</v>
      </c>
    </row>
    <row r="387" spans="1:6" ht="17.100000000000001" customHeight="1">
      <c r="A387" s="530"/>
      <c r="B387" s="540"/>
      <c r="C387" s="541"/>
      <c r="D387" s="1285" t="s">
        <v>583</v>
      </c>
      <c r="E387" s="1286"/>
      <c r="F387" s="534">
        <f>F388+F414</f>
        <v>4116920</v>
      </c>
    </row>
    <row r="388" spans="1:6" ht="17.100000000000001" customHeight="1">
      <c r="A388" s="530"/>
      <c r="B388" s="540"/>
      <c r="C388" s="541"/>
      <c r="D388" s="1287" t="s">
        <v>584</v>
      </c>
      <c r="E388" s="1291"/>
      <c r="F388" s="539">
        <f>F389+F396</f>
        <v>4110720</v>
      </c>
    </row>
    <row r="389" spans="1:6" ht="17.100000000000001" customHeight="1">
      <c r="A389" s="530"/>
      <c r="B389" s="540"/>
      <c r="C389" s="541"/>
      <c r="D389" s="1289" t="s">
        <v>585</v>
      </c>
      <c r="E389" s="1292"/>
      <c r="F389" s="539">
        <f>SUM(F390:F394)</f>
        <v>3591180</v>
      </c>
    </row>
    <row r="390" spans="1:6" ht="17.100000000000001" customHeight="1">
      <c r="A390" s="530"/>
      <c r="B390" s="1268"/>
      <c r="C390" s="1269"/>
      <c r="D390" s="537" t="s">
        <v>527</v>
      </c>
      <c r="E390" s="538" t="s">
        <v>586</v>
      </c>
      <c r="F390" s="539">
        <v>2830740</v>
      </c>
    </row>
    <row r="391" spans="1:6" ht="17.100000000000001" customHeight="1">
      <c r="A391" s="530"/>
      <c r="B391" s="1268"/>
      <c r="C391" s="1269"/>
      <c r="D391" s="537" t="s">
        <v>587</v>
      </c>
      <c r="E391" s="538" t="s">
        <v>588</v>
      </c>
      <c r="F391" s="539">
        <v>221170</v>
      </c>
    </row>
    <row r="392" spans="1:6" ht="17.100000000000001" customHeight="1">
      <c r="A392" s="530"/>
      <c r="B392" s="1268"/>
      <c r="C392" s="1269"/>
      <c r="D392" s="537" t="s">
        <v>589</v>
      </c>
      <c r="E392" s="538" t="s">
        <v>590</v>
      </c>
      <c r="F392" s="539">
        <v>485690</v>
      </c>
    </row>
    <row r="393" spans="1:6" ht="17.100000000000001" customHeight="1">
      <c r="A393" s="530"/>
      <c r="B393" s="1268"/>
      <c r="C393" s="1269"/>
      <c r="D393" s="537" t="s">
        <v>591</v>
      </c>
      <c r="E393" s="538" t="s">
        <v>592</v>
      </c>
      <c r="F393" s="539">
        <v>43580</v>
      </c>
    </row>
    <row r="394" spans="1:6" ht="17.100000000000001" customHeight="1">
      <c r="A394" s="530"/>
      <c r="B394" s="1268"/>
      <c r="C394" s="1269"/>
      <c r="D394" s="537" t="s">
        <v>593</v>
      </c>
      <c r="E394" s="538" t="s">
        <v>594</v>
      </c>
      <c r="F394" s="539">
        <v>10000</v>
      </c>
    </row>
    <row r="395" spans="1:6" ht="17.100000000000001" customHeight="1">
      <c r="A395" s="530"/>
      <c r="B395" s="540"/>
      <c r="C395" s="541"/>
      <c r="D395" s="1268"/>
      <c r="E395" s="1270"/>
      <c r="F395" s="1271"/>
    </row>
    <row r="396" spans="1:6" ht="17.100000000000001" customHeight="1">
      <c r="A396" s="530"/>
      <c r="B396" s="540"/>
      <c r="C396" s="541"/>
      <c r="D396" s="1266" t="s">
        <v>595</v>
      </c>
      <c r="E396" s="1267"/>
      <c r="F396" s="539">
        <f>SUM(F397:F412)</f>
        <v>519540</v>
      </c>
    </row>
    <row r="397" spans="1:6" ht="17.100000000000001" customHeight="1">
      <c r="A397" s="530"/>
      <c r="B397" s="1268"/>
      <c r="C397" s="1269"/>
      <c r="D397" s="537" t="s">
        <v>598</v>
      </c>
      <c r="E397" s="538" t="s">
        <v>599</v>
      </c>
      <c r="F397" s="539">
        <v>80000</v>
      </c>
    </row>
    <row r="398" spans="1:6" ht="17.100000000000001" customHeight="1">
      <c r="A398" s="530"/>
      <c r="B398" s="540"/>
      <c r="C398" s="541"/>
      <c r="D398" s="537" t="s">
        <v>600</v>
      </c>
      <c r="E398" s="538" t="s">
        <v>719</v>
      </c>
      <c r="F398" s="539">
        <v>2000</v>
      </c>
    </row>
    <row r="399" spans="1:6" ht="17.100000000000001" customHeight="1">
      <c r="A399" s="530"/>
      <c r="B399" s="1268"/>
      <c r="C399" s="1269"/>
      <c r="D399" s="537" t="s">
        <v>720</v>
      </c>
      <c r="E399" s="538" t="s">
        <v>721</v>
      </c>
      <c r="F399" s="539">
        <v>1000</v>
      </c>
    </row>
    <row r="400" spans="1:6" ht="17.100000000000001" customHeight="1">
      <c r="A400" s="530"/>
      <c r="B400" s="1268"/>
      <c r="C400" s="1269"/>
      <c r="D400" s="537" t="s">
        <v>602</v>
      </c>
      <c r="E400" s="538" t="s">
        <v>603</v>
      </c>
      <c r="F400" s="539">
        <v>105000</v>
      </c>
    </row>
    <row r="401" spans="1:6" ht="17.100000000000001" customHeight="1">
      <c r="A401" s="530"/>
      <c r="B401" s="1268"/>
      <c r="C401" s="1269"/>
      <c r="D401" s="537" t="s">
        <v>604</v>
      </c>
      <c r="E401" s="538" t="s">
        <v>605</v>
      </c>
      <c r="F401" s="539">
        <v>20000</v>
      </c>
    </row>
    <row r="402" spans="1:6" ht="17.100000000000001" customHeight="1">
      <c r="A402" s="530"/>
      <c r="B402" s="1268"/>
      <c r="C402" s="1269"/>
      <c r="D402" s="537" t="s">
        <v>606</v>
      </c>
      <c r="E402" s="538" t="s">
        <v>607</v>
      </c>
      <c r="F402" s="539">
        <v>2500</v>
      </c>
    </row>
    <row r="403" spans="1:6" ht="17.100000000000001" customHeight="1">
      <c r="A403" s="530"/>
      <c r="B403" s="1268"/>
      <c r="C403" s="1269"/>
      <c r="D403" s="537" t="s">
        <v>406</v>
      </c>
      <c r="E403" s="538" t="s">
        <v>608</v>
      </c>
      <c r="F403" s="539">
        <v>103500</v>
      </c>
    </row>
    <row r="404" spans="1:6" ht="16.5" customHeight="1">
      <c r="A404" s="530"/>
      <c r="B404" s="1268"/>
      <c r="C404" s="1269"/>
      <c r="D404" s="537" t="s">
        <v>609</v>
      </c>
      <c r="E404" s="538" t="s">
        <v>610</v>
      </c>
      <c r="F404" s="539">
        <v>10350</v>
      </c>
    </row>
    <row r="405" spans="1:6" ht="16.5" customHeight="1">
      <c r="A405" s="530"/>
      <c r="B405" s="1268"/>
      <c r="C405" s="1269"/>
      <c r="D405" s="537" t="s">
        <v>611</v>
      </c>
      <c r="E405" s="538" t="s">
        <v>612</v>
      </c>
      <c r="F405" s="539">
        <v>80000</v>
      </c>
    </row>
    <row r="406" spans="1:6" ht="17.100000000000001" customHeight="1">
      <c r="A406" s="530"/>
      <c r="B406" s="1268"/>
      <c r="C406" s="1269"/>
      <c r="D406" s="537" t="s">
        <v>613</v>
      </c>
      <c r="E406" s="538" t="s">
        <v>614</v>
      </c>
      <c r="F406" s="539">
        <v>7000</v>
      </c>
    </row>
    <row r="407" spans="1:6" ht="17.100000000000001" hidden="1" customHeight="1">
      <c r="A407" s="530"/>
      <c r="B407" s="1268"/>
      <c r="C407" s="1269"/>
      <c r="D407" s="537" t="s">
        <v>698</v>
      </c>
      <c r="E407" s="538" t="s">
        <v>699</v>
      </c>
      <c r="F407" s="539"/>
    </row>
    <row r="408" spans="1:6" ht="17.100000000000001" customHeight="1">
      <c r="A408" s="530"/>
      <c r="B408" s="1268"/>
      <c r="C408" s="1269"/>
      <c r="D408" s="537" t="s">
        <v>615</v>
      </c>
      <c r="E408" s="538" t="s">
        <v>616</v>
      </c>
      <c r="F408" s="539">
        <v>5500</v>
      </c>
    </row>
    <row r="409" spans="1:6" ht="17.100000000000001" customHeight="1">
      <c r="A409" s="530"/>
      <c r="B409" s="1268"/>
      <c r="C409" s="1269"/>
      <c r="D409" s="537" t="s">
        <v>617</v>
      </c>
      <c r="E409" s="538" t="s">
        <v>618</v>
      </c>
      <c r="F409" s="539">
        <v>73150</v>
      </c>
    </row>
    <row r="410" spans="1:6" ht="17.100000000000001" customHeight="1">
      <c r="A410" s="530"/>
      <c r="B410" s="1268"/>
      <c r="C410" s="1269"/>
      <c r="D410" s="537" t="s">
        <v>619</v>
      </c>
      <c r="E410" s="538" t="s">
        <v>620</v>
      </c>
      <c r="F410" s="539">
        <v>7500</v>
      </c>
    </row>
    <row r="411" spans="1:6" ht="17.100000000000001" customHeight="1">
      <c r="A411" s="530"/>
      <c r="B411" s="1268"/>
      <c r="C411" s="1269"/>
      <c r="D411" s="537" t="s">
        <v>623</v>
      </c>
      <c r="E411" s="538" t="s">
        <v>624</v>
      </c>
      <c r="F411" s="539">
        <v>11040</v>
      </c>
    </row>
    <row r="412" spans="1:6" ht="17.100000000000001" customHeight="1">
      <c r="A412" s="530"/>
      <c r="B412" s="1268"/>
      <c r="C412" s="1269"/>
      <c r="D412" s="537" t="s">
        <v>627</v>
      </c>
      <c r="E412" s="538" t="s">
        <v>628</v>
      </c>
      <c r="F412" s="539">
        <v>11000</v>
      </c>
    </row>
    <row r="413" spans="1:6" ht="17.100000000000001" customHeight="1">
      <c r="A413" s="530"/>
      <c r="B413" s="540"/>
      <c r="C413" s="541"/>
      <c r="D413" s="1268"/>
      <c r="E413" s="1270"/>
      <c r="F413" s="1271"/>
    </row>
    <row r="414" spans="1:6" ht="17.100000000000001" customHeight="1">
      <c r="A414" s="530"/>
      <c r="B414" s="540"/>
      <c r="C414" s="541"/>
      <c r="D414" s="1293" t="s">
        <v>629</v>
      </c>
      <c r="E414" s="1294"/>
      <c r="F414" s="539">
        <f>F415</f>
        <v>6200</v>
      </c>
    </row>
    <row r="415" spans="1:6" ht="17.100000000000001" customHeight="1">
      <c r="A415" s="530"/>
      <c r="B415" s="540"/>
      <c r="C415" s="541"/>
      <c r="D415" s="537" t="s">
        <v>630</v>
      </c>
      <c r="E415" s="538" t="s">
        <v>631</v>
      </c>
      <c r="F415" s="539">
        <v>6200</v>
      </c>
    </row>
    <row r="416" spans="1:6" ht="17.100000000000001" customHeight="1">
      <c r="A416" s="530"/>
      <c r="B416" s="1295" t="s">
        <v>241</v>
      </c>
      <c r="C416" s="1296"/>
      <c r="D416" s="542"/>
      <c r="E416" s="543" t="s">
        <v>242</v>
      </c>
      <c r="F416" s="544">
        <f>F417</f>
        <v>1847643</v>
      </c>
    </row>
    <row r="417" spans="1:6" ht="17.100000000000001" customHeight="1">
      <c r="A417" s="530"/>
      <c r="B417" s="540"/>
      <c r="C417" s="541"/>
      <c r="D417" s="1285" t="s">
        <v>583</v>
      </c>
      <c r="E417" s="1286"/>
      <c r="F417" s="534">
        <f>F418+F441</f>
        <v>1847643</v>
      </c>
    </row>
    <row r="418" spans="1:6" ht="17.100000000000001" customHeight="1">
      <c r="A418" s="530"/>
      <c r="B418" s="540"/>
      <c r="C418" s="541"/>
      <c r="D418" s="1287" t="s">
        <v>584</v>
      </c>
      <c r="E418" s="1291"/>
      <c r="F418" s="539">
        <f>F419+F426</f>
        <v>1846543</v>
      </c>
    </row>
    <row r="419" spans="1:6" ht="17.100000000000001" customHeight="1">
      <c r="A419" s="530"/>
      <c r="B419" s="540"/>
      <c r="C419" s="541"/>
      <c r="D419" s="1289" t="s">
        <v>585</v>
      </c>
      <c r="E419" s="1292"/>
      <c r="F419" s="539">
        <f>SUM(F420:F424)</f>
        <v>565980</v>
      </c>
    </row>
    <row r="420" spans="1:6" ht="17.100000000000001" customHeight="1">
      <c r="A420" s="530"/>
      <c r="B420" s="1268"/>
      <c r="C420" s="1269"/>
      <c r="D420" s="537" t="s">
        <v>527</v>
      </c>
      <c r="E420" s="538" t="s">
        <v>586</v>
      </c>
      <c r="F420" s="539">
        <v>439393</v>
      </c>
    </row>
    <row r="421" spans="1:6" ht="17.100000000000001" customHeight="1">
      <c r="A421" s="530"/>
      <c r="B421" s="1268"/>
      <c r="C421" s="1269"/>
      <c r="D421" s="537" t="s">
        <v>587</v>
      </c>
      <c r="E421" s="538" t="s">
        <v>588</v>
      </c>
      <c r="F421" s="539">
        <v>31712</v>
      </c>
    </row>
    <row r="422" spans="1:6" ht="17.100000000000001" customHeight="1">
      <c r="A422" s="530"/>
      <c r="B422" s="1268"/>
      <c r="C422" s="1269"/>
      <c r="D422" s="537" t="s">
        <v>589</v>
      </c>
      <c r="E422" s="538" t="s">
        <v>590</v>
      </c>
      <c r="F422" s="539">
        <v>74652</v>
      </c>
    </row>
    <row r="423" spans="1:6" ht="17.100000000000001" customHeight="1">
      <c r="A423" s="530"/>
      <c r="B423" s="1268"/>
      <c r="C423" s="1269"/>
      <c r="D423" s="537" t="s">
        <v>591</v>
      </c>
      <c r="E423" s="538" t="s">
        <v>592</v>
      </c>
      <c r="F423" s="539">
        <v>8223</v>
      </c>
    </row>
    <row r="424" spans="1:6" ht="17.100000000000001" customHeight="1">
      <c r="A424" s="530"/>
      <c r="B424" s="1268"/>
      <c r="C424" s="1269"/>
      <c r="D424" s="537" t="s">
        <v>593</v>
      </c>
      <c r="E424" s="538" t="s">
        <v>594</v>
      </c>
      <c r="F424" s="539">
        <v>12000</v>
      </c>
    </row>
    <row r="425" spans="1:6" ht="17.100000000000001" customHeight="1">
      <c r="A425" s="530"/>
      <c r="B425" s="540"/>
      <c r="C425" s="541"/>
      <c r="D425" s="1268"/>
      <c r="E425" s="1270"/>
      <c r="F425" s="1271"/>
    </row>
    <row r="426" spans="1:6" ht="17.100000000000001" customHeight="1">
      <c r="A426" s="530"/>
      <c r="B426" s="540"/>
      <c r="C426" s="541"/>
      <c r="D426" s="1266" t="s">
        <v>595</v>
      </c>
      <c r="E426" s="1267"/>
      <c r="F426" s="539">
        <f>SUM(F427:F439)</f>
        <v>1280563</v>
      </c>
    </row>
    <row r="427" spans="1:6" ht="17.100000000000001" customHeight="1">
      <c r="A427" s="530"/>
      <c r="B427" s="1268"/>
      <c r="C427" s="1269"/>
      <c r="D427" s="537" t="s">
        <v>598</v>
      </c>
      <c r="E427" s="538" t="s">
        <v>599</v>
      </c>
      <c r="F427" s="539">
        <v>25200</v>
      </c>
    </row>
    <row r="428" spans="1:6" ht="17.100000000000001" customHeight="1">
      <c r="A428" s="530"/>
      <c r="B428" s="540"/>
      <c r="C428" s="541"/>
      <c r="D428" s="537" t="s">
        <v>600</v>
      </c>
      <c r="E428" s="538" t="s">
        <v>601</v>
      </c>
      <c r="F428" s="539">
        <v>500</v>
      </c>
    </row>
    <row r="429" spans="1:6" ht="17.100000000000001" customHeight="1">
      <c r="A429" s="530"/>
      <c r="B429" s="1268"/>
      <c r="C429" s="1269"/>
      <c r="D429" s="537" t="s">
        <v>602</v>
      </c>
      <c r="E429" s="538" t="s">
        <v>603</v>
      </c>
      <c r="F429" s="539">
        <v>23600</v>
      </c>
    </row>
    <row r="430" spans="1:6" ht="17.100000000000001" customHeight="1">
      <c r="A430" s="530"/>
      <c r="B430" s="1268"/>
      <c r="C430" s="1269"/>
      <c r="D430" s="537" t="s">
        <v>604</v>
      </c>
      <c r="E430" s="538" t="s">
        <v>605</v>
      </c>
      <c r="F430" s="539">
        <v>5000</v>
      </c>
    </row>
    <row r="431" spans="1:6" ht="17.100000000000001" customHeight="1">
      <c r="A431" s="530"/>
      <c r="B431" s="1268"/>
      <c r="C431" s="1269"/>
      <c r="D431" s="537" t="s">
        <v>606</v>
      </c>
      <c r="E431" s="538" t="s">
        <v>607</v>
      </c>
      <c r="F431" s="539">
        <v>500</v>
      </c>
    </row>
    <row r="432" spans="1:6" ht="17.100000000000001" customHeight="1">
      <c r="A432" s="530"/>
      <c r="B432" s="1268"/>
      <c r="C432" s="1269"/>
      <c r="D432" s="537" t="s">
        <v>406</v>
      </c>
      <c r="E432" s="538" t="s">
        <v>608</v>
      </c>
      <c r="F432" s="539">
        <v>1167237</v>
      </c>
    </row>
    <row r="433" spans="1:6" ht="16.5" customHeight="1">
      <c r="A433" s="530"/>
      <c r="B433" s="1268"/>
      <c r="C433" s="1269"/>
      <c r="D433" s="537" t="s">
        <v>609</v>
      </c>
      <c r="E433" s="538" t="s">
        <v>722</v>
      </c>
      <c r="F433" s="539">
        <v>7000</v>
      </c>
    </row>
    <row r="434" spans="1:6" ht="19.5" customHeight="1">
      <c r="A434" s="530"/>
      <c r="B434" s="1268"/>
      <c r="C434" s="1269"/>
      <c r="D434" s="537" t="s">
        <v>611</v>
      </c>
      <c r="E434" s="538" t="s">
        <v>612</v>
      </c>
      <c r="F434" s="539">
        <v>29500</v>
      </c>
    </row>
    <row r="435" spans="1:6" ht="17.100000000000001" customHeight="1">
      <c r="A435" s="530"/>
      <c r="B435" s="1268"/>
      <c r="C435" s="1269"/>
      <c r="D435" s="537" t="s">
        <v>613</v>
      </c>
      <c r="E435" s="538" t="s">
        <v>614</v>
      </c>
      <c r="F435" s="539">
        <v>3500</v>
      </c>
    </row>
    <row r="436" spans="1:6" ht="17.100000000000001" customHeight="1">
      <c r="A436" s="530"/>
      <c r="B436" s="540"/>
      <c r="C436" s="541"/>
      <c r="D436" s="537" t="s">
        <v>615</v>
      </c>
      <c r="E436" s="538" t="s">
        <v>616</v>
      </c>
      <c r="F436" s="539">
        <v>1500</v>
      </c>
    </row>
    <row r="437" spans="1:6" ht="17.100000000000001" customHeight="1">
      <c r="A437" s="530"/>
      <c r="B437" s="1268"/>
      <c r="C437" s="1269"/>
      <c r="D437" s="537" t="s">
        <v>617</v>
      </c>
      <c r="E437" s="538" t="s">
        <v>618</v>
      </c>
      <c r="F437" s="539">
        <v>7500</v>
      </c>
    </row>
    <row r="438" spans="1:6">
      <c r="A438" s="530"/>
      <c r="B438" s="1268"/>
      <c r="C438" s="1269"/>
      <c r="D438" s="537" t="s">
        <v>625</v>
      </c>
      <c r="E438" s="538" t="s">
        <v>723</v>
      </c>
      <c r="F438" s="539">
        <v>3526</v>
      </c>
    </row>
    <row r="439" spans="1:6" ht="17.100000000000001" customHeight="1">
      <c r="A439" s="530"/>
      <c r="B439" s="1268"/>
      <c r="C439" s="1269"/>
      <c r="D439" s="537" t="s">
        <v>627</v>
      </c>
      <c r="E439" s="538" t="s">
        <v>628</v>
      </c>
      <c r="F439" s="539">
        <v>6000</v>
      </c>
    </row>
    <row r="440" spans="1:6" ht="17.100000000000001" customHeight="1">
      <c r="A440" s="530"/>
      <c r="B440" s="540"/>
      <c r="C440" s="541"/>
      <c r="D440" s="1268"/>
      <c r="E440" s="1270"/>
      <c r="F440" s="1271"/>
    </row>
    <row r="441" spans="1:6" ht="17.100000000000001" customHeight="1">
      <c r="A441" s="530"/>
      <c r="B441" s="540"/>
      <c r="C441" s="541"/>
      <c r="D441" s="1293" t="s">
        <v>629</v>
      </c>
      <c r="E441" s="1294"/>
      <c r="F441" s="539">
        <f>F442</f>
        <v>1100</v>
      </c>
    </row>
    <row r="442" spans="1:6" ht="17.100000000000001" customHeight="1">
      <c r="A442" s="530"/>
      <c r="B442" s="540"/>
      <c r="C442" s="541"/>
      <c r="D442" s="537" t="s">
        <v>630</v>
      </c>
      <c r="E442" s="538" t="s">
        <v>631</v>
      </c>
      <c r="F442" s="539">
        <v>1100</v>
      </c>
    </row>
    <row r="443" spans="1:6" ht="17.100000000000001" customHeight="1">
      <c r="A443" s="530"/>
      <c r="B443" s="1295" t="s">
        <v>243</v>
      </c>
      <c r="C443" s="1296"/>
      <c r="D443" s="542"/>
      <c r="E443" s="543" t="s">
        <v>238</v>
      </c>
      <c r="F443" s="544">
        <f>F444+F449</f>
        <v>105000</v>
      </c>
    </row>
    <row r="444" spans="1:6" ht="17.100000000000001" customHeight="1">
      <c r="A444" s="530"/>
      <c r="B444" s="1281"/>
      <c r="C444" s="1282"/>
      <c r="D444" s="1285" t="s">
        <v>583</v>
      </c>
      <c r="E444" s="1286"/>
      <c r="F444" s="534">
        <f>F445</f>
        <v>100000</v>
      </c>
    </row>
    <row r="445" spans="1:6" ht="17.100000000000001" customHeight="1">
      <c r="A445" s="530"/>
      <c r="B445" s="1283"/>
      <c r="C445" s="1284"/>
      <c r="D445" s="1287" t="s">
        <v>584</v>
      </c>
      <c r="E445" s="1291"/>
      <c r="F445" s="539">
        <f>F446</f>
        <v>100000</v>
      </c>
    </row>
    <row r="446" spans="1:6" ht="17.100000000000001" customHeight="1">
      <c r="A446" s="530"/>
      <c r="B446" s="1283"/>
      <c r="C446" s="1284"/>
      <c r="D446" s="1266" t="s">
        <v>595</v>
      </c>
      <c r="E446" s="1267"/>
      <c r="F446" s="539">
        <f>F447</f>
        <v>100000</v>
      </c>
    </row>
    <row r="447" spans="1:6" ht="17.100000000000001" customHeight="1">
      <c r="A447" s="530"/>
      <c r="B447" s="1283"/>
      <c r="C447" s="1284"/>
      <c r="D447" s="537" t="s">
        <v>604</v>
      </c>
      <c r="E447" s="538" t="s">
        <v>605</v>
      </c>
      <c r="F447" s="539">
        <v>100000</v>
      </c>
    </row>
    <row r="448" spans="1:6" ht="17.100000000000001" customHeight="1">
      <c r="A448" s="530"/>
      <c r="B448" s="1283"/>
      <c r="C448" s="1284"/>
      <c r="D448" s="1268"/>
      <c r="E448" s="1270"/>
      <c r="F448" s="1271"/>
    </row>
    <row r="449" spans="1:11" ht="17.100000000000001" customHeight="1">
      <c r="A449" s="530"/>
      <c r="B449" s="1283"/>
      <c r="C449" s="1284"/>
      <c r="D449" s="1318" t="s">
        <v>636</v>
      </c>
      <c r="E449" s="1319"/>
      <c r="F449" s="534">
        <f>F450</f>
        <v>5000</v>
      </c>
    </row>
    <row r="450" spans="1:11" ht="17.100000000000001" customHeight="1">
      <c r="A450" s="530"/>
      <c r="B450" s="1283"/>
      <c r="C450" s="1284"/>
      <c r="D450" s="1293" t="s">
        <v>637</v>
      </c>
      <c r="E450" s="1294"/>
      <c r="F450" s="539">
        <f>F451</f>
        <v>5000</v>
      </c>
    </row>
    <row r="451" spans="1:11" ht="17.100000000000001" customHeight="1" thickBot="1">
      <c r="A451" s="530"/>
      <c r="B451" s="1283"/>
      <c r="C451" s="1284"/>
      <c r="D451" s="551" t="s">
        <v>471</v>
      </c>
      <c r="E451" s="552" t="s">
        <v>638</v>
      </c>
      <c r="F451" s="553">
        <v>5000</v>
      </c>
    </row>
    <row r="452" spans="1:11" ht="17.100000000000001" customHeight="1" thickBot="1">
      <c r="A452" s="526" t="s">
        <v>724</v>
      </c>
      <c r="B452" s="1277"/>
      <c r="C452" s="1278"/>
      <c r="D452" s="527"/>
      <c r="E452" s="528" t="s">
        <v>725</v>
      </c>
      <c r="F452" s="529">
        <f>F453</f>
        <v>116352027</v>
      </c>
    </row>
    <row r="453" spans="1:11" ht="17.100000000000001" customHeight="1">
      <c r="A453" s="530"/>
      <c r="B453" s="1279" t="s">
        <v>411</v>
      </c>
      <c r="C453" s="1280"/>
      <c r="D453" s="531"/>
      <c r="E453" s="532" t="s">
        <v>238</v>
      </c>
      <c r="F453" s="533">
        <f>F454+F468</f>
        <v>116352027</v>
      </c>
    </row>
    <row r="454" spans="1:11" ht="17.100000000000001" customHeight="1">
      <c r="A454" s="530"/>
      <c r="B454" s="1281"/>
      <c r="C454" s="1282"/>
      <c r="D454" s="1285" t="s">
        <v>583</v>
      </c>
      <c r="E454" s="1286"/>
      <c r="F454" s="534">
        <f>F455</f>
        <v>15442243</v>
      </c>
    </row>
    <row r="455" spans="1:11" ht="17.100000000000001" customHeight="1">
      <c r="A455" s="530"/>
      <c r="B455" s="1283"/>
      <c r="C455" s="1284"/>
      <c r="D455" s="1287" t="s">
        <v>584</v>
      </c>
      <c r="E455" s="1291"/>
      <c r="F455" s="539">
        <f>F456+F465</f>
        <v>15442243</v>
      </c>
    </row>
    <row r="456" spans="1:11" ht="17.100000000000001" customHeight="1">
      <c r="A456" s="530"/>
      <c r="B456" s="1283"/>
      <c r="C456" s="1284"/>
      <c r="D456" s="1266" t="s">
        <v>595</v>
      </c>
      <c r="E456" s="1267"/>
      <c r="F456" s="539">
        <f>SUM(F457:F463)</f>
        <v>10534940</v>
      </c>
    </row>
    <row r="457" spans="1:11" ht="17.100000000000001" customHeight="1">
      <c r="A457" s="530"/>
      <c r="B457" s="1283"/>
      <c r="C457" s="1284"/>
      <c r="D457" s="537" t="s">
        <v>602</v>
      </c>
      <c r="E457" s="538" t="s">
        <v>603</v>
      </c>
      <c r="F457" s="539">
        <v>45000</v>
      </c>
    </row>
    <row r="458" spans="1:11" ht="17.100000000000001" customHeight="1">
      <c r="A458" s="530"/>
      <c r="B458" s="1283"/>
      <c r="C458" s="1284"/>
      <c r="D458" s="537" t="s">
        <v>406</v>
      </c>
      <c r="E458" s="538" t="s">
        <v>608</v>
      </c>
      <c r="F458" s="539">
        <v>416940</v>
      </c>
    </row>
    <row r="459" spans="1:11" ht="17.100000000000001" customHeight="1">
      <c r="A459" s="530"/>
      <c r="B459" s="1283"/>
      <c r="C459" s="1284"/>
      <c r="D459" s="537" t="s">
        <v>609</v>
      </c>
      <c r="E459" s="538" t="s">
        <v>610</v>
      </c>
      <c r="F459" s="539">
        <v>3000</v>
      </c>
      <c r="K459" s="591"/>
    </row>
    <row r="460" spans="1:11" ht="17.100000000000001" customHeight="1">
      <c r="A460" s="530"/>
      <c r="B460" s="1283"/>
      <c r="C460" s="1284"/>
      <c r="D460" s="537" t="s">
        <v>664</v>
      </c>
      <c r="E460" s="538" t="s">
        <v>649</v>
      </c>
      <c r="F460" s="539">
        <v>40000</v>
      </c>
    </row>
    <row r="461" spans="1:11" ht="17.100000000000001" customHeight="1">
      <c r="A461" s="530"/>
      <c r="B461" s="545"/>
      <c r="C461" s="546"/>
      <c r="D461" s="592" t="s">
        <v>615</v>
      </c>
      <c r="E461" s="538" t="s">
        <v>616</v>
      </c>
      <c r="F461" s="593">
        <v>8000000</v>
      </c>
    </row>
    <row r="462" spans="1:11" ht="17.100000000000001" customHeight="1">
      <c r="A462" s="530"/>
      <c r="B462" s="545"/>
      <c r="C462" s="546"/>
      <c r="D462" s="592" t="s">
        <v>619</v>
      </c>
      <c r="E462" s="538" t="s">
        <v>726</v>
      </c>
      <c r="F462" s="593">
        <v>2000000</v>
      </c>
    </row>
    <row r="463" spans="1:11" ht="15.75" customHeight="1">
      <c r="A463" s="530"/>
      <c r="B463" s="545"/>
      <c r="C463" s="546"/>
      <c r="D463" s="537" t="s">
        <v>627</v>
      </c>
      <c r="E463" s="538" t="s">
        <v>628</v>
      </c>
      <c r="F463" s="594">
        <v>30000</v>
      </c>
    </row>
    <row r="464" spans="1:11" ht="15.75" customHeight="1">
      <c r="A464" s="530"/>
      <c r="B464" s="545"/>
      <c r="C464" s="546"/>
      <c r="D464" s="1324"/>
      <c r="E464" s="1360"/>
      <c r="F464" s="595"/>
    </row>
    <row r="465" spans="1:8" ht="15.75" customHeight="1">
      <c r="A465" s="530"/>
      <c r="B465" s="545"/>
      <c r="C465" s="546"/>
      <c r="D465" s="1287" t="s">
        <v>647</v>
      </c>
      <c r="E465" s="1291"/>
      <c r="F465" s="594">
        <f>SUM(F466:F466)</f>
        <v>4907303</v>
      </c>
    </row>
    <row r="466" spans="1:8" ht="56.25" customHeight="1">
      <c r="A466" s="530"/>
      <c r="B466" s="545"/>
      <c r="C466" s="546"/>
      <c r="D466" s="537" t="s">
        <v>412</v>
      </c>
      <c r="E466" s="576" t="s">
        <v>727</v>
      </c>
      <c r="F466" s="594">
        <v>4907303</v>
      </c>
    </row>
    <row r="467" spans="1:8" ht="15.75" customHeight="1">
      <c r="A467" s="530"/>
      <c r="B467" s="545"/>
      <c r="C467" s="546"/>
      <c r="D467" s="1324"/>
      <c r="E467" s="1360"/>
      <c r="F467" s="594"/>
    </row>
    <row r="468" spans="1:8" ht="15.75" customHeight="1">
      <c r="A468" s="530"/>
      <c r="B468" s="545"/>
      <c r="C468" s="546"/>
      <c r="D468" s="1318" t="s">
        <v>636</v>
      </c>
      <c r="E468" s="1319"/>
      <c r="F468" s="534">
        <f>SUM(F469)</f>
        <v>100909784</v>
      </c>
    </row>
    <row r="469" spans="1:8" ht="15.75" customHeight="1">
      <c r="A469" s="530"/>
      <c r="B469" s="545"/>
      <c r="C469" s="546"/>
      <c r="D469" s="1293" t="s">
        <v>637</v>
      </c>
      <c r="E469" s="1294"/>
      <c r="F469" s="539">
        <f>SUM(F470:F474)</f>
        <v>100909784</v>
      </c>
    </row>
    <row r="470" spans="1:8" ht="15.75" customHeight="1">
      <c r="A470" s="530"/>
      <c r="B470" s="545"/>
      <c r="C470" s="546"/>
      <c r="D470" s="537" t="s">
        <v>471</v>
      </c>
      <c r="E470" s="538" t="s">
        <v>638</v>
      </c>
      <c r="F470" s="539">
        <v>563500</v>
      </c>
    </row>
    <row r="471" spans="1:8" ht="15.75" customHeight="1">
      <c r="A471" s="530"/>
      <c r="B471" s="545"/>
      <c r="C471" s="546"/>
      <c r="D471" s="537" t="s">
        <v>414</v>
      </c>
      <c r="E471" s="538" t="s">
        <v>638</v>
      </c>
      <c r="F471" s="594">
        <f>12134853+3752966</f>
        <v>15887819</v>
      </c>
      <c r="H471" s="514" t="s">
        <v>728</v>
      </c>
    </row>
    <row r="472" spans="1:8" ht="15.75" customHeight="1">
      <c r="A472" s="530"/>
      <c r="B472" s="545"/>
      <c r="C472" s="546"/>
      <c r="D472" s="537" t="s">
        <v>472</v>
      </c>
      <c r="E472" s="538" t="s">
        <v>638</v>
      </c>
      <c r="F472" s="594">
        <f>2141445+632216</f>
        <v>2773661</v>
      </c>
      <c r="H472" s="514" t="s">
        <v>729</v>
      </c>
    </row>
    <row r="473" spans="1:8" ht="15.75" customHeight="1">
      <c r="A473" s="530"/>
      <c r="B473" s="545"/>
      <c r="C473" s="546"/>
      <c r="D473" s="537" t="s">
        <v>407</v>
      </c>
      <c r="E473" s="538" t="s">
        <v>655</v>
      </c>
      <c r="F473" s="594">
        <v>25000</v>
      </c>
    </row>
    <row r="474" spans="1:8" ht="51">
      <c r="A474" s="530"/>
      <c r="B474" s="545"/>
      <c r="C474" s="546"/>
      <c r="D474" s="537" t="s">
        <v>413</v>
      </c>
      <c r="E474" s="576" t="s">
        <v>677</v>
      </c>
      <c r="F474" s="594">
        <v>81659804</v>
      </c>
    </row>
    <row r="475" spans="1:8" ht="15.75" customHeight="1">
      <c r="A475" s="530"/>
      <c r="B475" s="545"/>
      <c r="C475" s="546"/>
      <c r="D475" s="1324"/>
      <c r="E475" s="1360"/>
      <c r="F475" s="594"/>
    </row>
    <row r="476" spans="1:8" ht="15.75" customHeight="1">
      <c r="A476" s="530"/>
      <c r="B476" s="545"/>
      <c r="C476" s="546"/>
      <c r="D476" s="1266" t="s">
        <v>641</v>
      </c>
      <c r="E476" s="1297"/>
      <c r="F476" s="594">
        <f>SUM(F477:F479)</f>
        <v>100321284</v>
      </c>
    </row>
    <row r="477" spans="1:8" ht="15.75" customHeight="1">
      <c r="A477" s="530"/>
      <c r="B477" s="545"/>
      <c r="C477" s="546"/>
      <c r="D477" s="537" t="s">
        <v>414</v>
      </c>
      <c r="E477" s="538" t="s">
        <v>638</v>
      </c>
      <c r="F477" s="594">
        <f>12134853+3752966</f>
        <v>15887819</v>
      </c>
      <c r="H477" s="514" t="s">
        <v>728</v>
      </c>
    </row>
    <row r="478" spans="1:8" ht="15.75" customHeight="1">
      <c r="A478" s="530"/>
      <c r="B478" s="545"/>
      <c r="C478" s="546"/>
      <c r="D478" s="537" t="s">
        <v>472</v>
      </c>
      <c r="E478" s="538" t="s">
        <v>638</v>
      </c>
      <c r="F478" s="594">
        <f>2141445+632216</f>
        <v>2773661</v>
      </c>
      <c r="H478" s="514" t="s">
        <v>729</v>
      </c>
    </row>
    <row r="479" spans="1:8" ht="51.75" thickBot="1">
      <c r="A479" s="530"/>
      <c r="B479" s="545"/>
      <c r="C479" s="546"/>
      <c r="D479" s="551" t="s">
        <v>413</v>
      </c>
      <c r="E479" s="596" t="s">
        <v>677</v>
      </c>
      <c r="F479" s="597">
        <v>81659804</v>
      </c>
    </row>
    <row r="480" spans="1:8" ht="17.100000000000001" customHeight="1" thickBot="1">
      <c r="A480" s="526" t="s">
        <v>451</v>
      </c>
      <c r="B480" s="1277"/>
      <c r="C480" s="1278"/>
      <c r="D480" s="527"/>
      <c r="E480" s="528" t="s">
        <v>730</v>
      </c>
      <c r="F480" s="529">
        <f>F481</f>
        <v>1027488</v>
      </c>
    </row>
    <row r="481" spans="1:6" ht="17.100000000000001" customHeight="1">
      <c r="A481" s="530"/>
      <c r="B481" s="1279" t="s">
        <v>417</v>
      </c>
      <c r="C481" s="1280"/>
      <c r="D481" s="531"/>
      <c r="E481" s="532" t="s">
        <v>238</v>
      </c>
      <c r="F481" s="533">
        <f>SUM(F482)</f>
        <v>1027488</v>
      </c>
    </row>
    <row r="482" spans="1:6" ht="17.100000000000001" customHeight="1">
      <c r="A482" s="530"/>
      <c r="B482" s="1281"/>
      <c r="C482" s="1282"/>
      <c r="D482" s="1285" t="s">
        <v>583</v>
      </c>
      <c r="E482" s="1286"/>
      <c r="F482" s="534">
        <f>F483</f>
        <v>1027488</v>
      </c>
    </row>
    <row r="483" spans="1:6" ht="17.100000000000001" customHeight="1">
      <c r="A483" s="530"/>
      <c r="B483" s="1283"/>
      <c r="C483" s="1284"/>
      <c r="D483" s="1287" t="s">
        <v>647</v>
      </c>
      <c r="E483" s="1291"/>
      <c r="F483" s="539">
        <f>SUM(F484:F508)</f>
        <v>1027488</v>
      </c>
    </row>
    <row r="484" spans="1:6" ht="17.100000000000001" customHeight="1">
      <c r="A484" s="530"/>
      <c r="B484" s="545"/>
      <c r="C484" s="546"/>
      <c r="D484" s="570" t="s">
        <v>362</v>
      </c>
      <c r="E484" s="538" t="s">
        <v>586</v>
      </c>
      <c r="F484" s="539">
        <v>28419</v>
      </c>
    </row>
    <row r="485" spans="1:6" ht="17.100000000000001" customHeight="1">
      <c r="A485" s="530"/>
      <c r="B485" s="545"/>
      <c r="C485" s="546"/>
      <c r="D485" s="570" t="s">
        <v>363</v>
      </c>
      <c r="E485" s="538" t="s">
        <v>586</v>
      </c>
      <c r="F485" s="539">
        <v>5015</v>
      </c>
    </row>
    <row r="486" spans="1:6" ht="17.100000000000001" customHeight="1">
      <c r="A486" s="530"/>
      <c r="B486" s="545"/>
      <c r="C486" s="546"/>
      <c r="D486" s="570" t="s">
        <v>334</v>
      </c>
      <c r="E486" s="538" t="s">
        <v>590</v>
      </c>
      <c r="F486" s="539">
        <v>4885</v>
      </c>
    </row>
    <row r="487" spans="1:6" ht="17.100000000000001" customHeight="1">
      <c r="A487" s="530"/>
      <c r="B487" s="545"/>
      <c r="C487" s="546"/>
      <c r="D487" s="570" t="s">
        <v>335</v>
      </c>
      <c r="E487" s="538" t="s">
        <v>590</v>
      </c>
      <c r="F487" s="539">
        <v>862</v>
      </c>
    </row>
    <row r="488" spans="1:6" ht="17.100000000000001" customHeight="1">
      <c r="A488" s="530"/>
      <c r="B488" s="545"/>
      <c r="C488" s="546"/>
      <c r="D488" s="570" t="s">
        <v>366</v>
      </c>
      <c r="E488" s="538" t="s">
        <v>592</v>
      </c>
      <c r="F488" s="539">
        <v>696</v>
      </c>
    </row>
    <row r="489" spans="1:6" ht="17.100000000000001" customHeight="1">
      <c r="A489" s="530"/>
      <c r="B489" s="545"/>
      <c r="C489" s="546"/>
      <c r="D489" s="570" t="s">
        <v>367</v>
      </c>
      <c r="E489" s="538" t="s">
        <v>592</v>
      </c>
      <c r="F489" s="539">
        <v>123</v>
      </c>
    </row>
    <row r="490" spans="1:6" ht="17.100000000000001" customHeight="1">
      <c r="A490" s="530"/>
      <c r="B490" s="1268"/>
      <c r="C490" s="1269"/>
      <c r="D490" s="537" t="s">
        <v>395</v>
      </c>
      <c r="E490" s="538" t="s">
        <v>594</v>
      </c>
      <c r="F490" s="539">
        <v>50000</v>
      </c>
    </row>
    <row r="491" spans="1:6" ht="17.100000000000001" customHeight="1">
      <c r="A491" s="530"/>
      <c r="B491" s="540"/>
      <c r="C491" s="541"/>
      <c r="D491" s="537" t="s">
        <v>336</v>
      </c>
      <c r="E491" s="538" t="s">
        <v>594</v>
      </c>
      <c r="F491" s="539">
        <v>25500</v>
      </c>
    </row>
    <row r="492" spans="1:6" ht="17.100000000000001" customHeight="1">
      <c r="A492" s="530"/>
      <c r="B492" s="540"/>
      <c r="C492" s="541"/>
      <c r="D492" s="537" t="s">
        <v>337</v>
      </c>
      <c r="E492" s="538" t="s">
        <v>594</v>
      </c>
      <c r="F492" s="539">
        <v>4500</v>
      </c>
    </row>
    <row r="493" spans="1:6" ht="17.100000000000001" customHeight="1">
      <c r="A493" s="530"/>
      <c r="B493" s="540"/>
      <c r="C493" s="541"/>
      <c r="D493" s="537" t="s">
        <v>339</v>
      </c>
      <c r="E493" s="538" t="s">
        <v>599</v>
      </c>
      <c r="F493" s="539">
        <v>5940</v>
      </c>
    </row>
    <row r="494" spans="1:6" ht="17.100000000000001" customHeight="1">
      <c r="A494" s="530"/>
      <c r="B494" s="540"/>
      <c r="C494" s="541"/>
      <c r="D494" s="537" t="s">
        <v>340</v>
      </c>
      <c r="E494" s="538" t="s">
        <v>599</v>
      </c>
      <c r="F494" s="539">
        <v>1048</v>
      </c>
    </row>
    <row r="495" spans="1:6" ht="17.100000000000001" customHeight="1">
      <c r="A495" s="530"/>
      <c r="B495" s="1268"/>
      <c r="C495" s="1269"/>
      <c r="D495" s="537" t="s">
        <v>397</v>
      </c>
      <c r="E495" s="538" t="s">
        <v>608</v>
      </c>
      <c r="F495" s="539">
        <v>380000</v>
      </c>
    </row>
    <row r="496" spans="1:6" ht="17.100000000000001" customHeight="1">
      <c r="A496" s="530"/>
      <c r="B496" s="540"/>
      <c r="C496" s="541"/>
      <c r="D496" s="537" t="s">
        <v>341</v>
      </c>
      <c r="E496" s="538" t="s">
        <v>608</v>
      </c>
      <c r="F496" s="539">
        <v>34000</v>
      </c>
    </row>
    <row r="497" spans="1:6" ht="17.100000000000001" customHeight="1">
      <c r="A497" s="530"/>
      <c r="B497" s="540"/>
      <c r="C497" s="541"/>
      <c r="D497" s="537" t="s">
        <v>342</v>
      </c>
      <c r="E497" s="538" t="s">
        <v>608</v>
      </c>
      <c r="F497" s="539">
        <v>6000</v>
      </c>
    </row>
    <row r="498" spans="1:6" ht="16.5" customHeight="1">
      <c r="A498" s="530"/>
      <c r="B498" s="1268"/>
      <c r="C498" s="1269"/>
      <c r="D498" s="537" t="s">
        <v>398</v>
      </c>
      <c r="E498" s="538" t="s">
        <v>675</v>
      </c>
      <c r="F498" s="539">
        <v>100000</v>
      </c>
    </row>
    <row r="499" spans="1:6" ht="16.5" customHeight="1">
      <c r="A499" s="530"/>
      <c r="B499" s="540"/>
      <c r="C499" s="541"/>
      <c r="D499" s="537" t="s">
        <v>343</v>
      </c>
      <c r="E499" s="538" t="s">
        <v>675</v>
      </c>
      <c r="F499" s="539">
        <v>17000</v>
      </c>
    </row>
    <row r="500" spans="1:6" ht="16.5" customHeight="1">
      <c r="A500" s="530"/>
      <c r="B500" s="540"/>
      <c r="C500" s="541"/>
      <c r="D500" s="537" t="s">
        <v>344</v>
      </c>
      <c r="E500" s="538" t="s">
        <v>675</v>
      </c>
      <c r="F500" s="539">
        <v>3000</v>
      </c>
    </row>
    <row r="501" spans="1:6" ht="16.5" customHeight="1">
      <c r="A501" s="530"/>
      <c r="B501" s="1268"/>
      <c r="C501" s="1269"/>
      <c r="D501" s="537" t="s">
        <v>399</v>
      </c>
      <c r="E501" s="538" t="s">
        <v>649</v>
      </c>
      <c r="F501" s="539">
        <v>50000</v>
      </c>
    </row>
    <row r="502" spans="1:6" ht="16.5" customHeight="1">
      <c r="A502" s="530"/>
      <c r="B502" s="540"/>
      <c r="C502" s="541"/>
      <c r="D502" s="537" t="s">
        <v>354</v>
      </c>
      <c r="E502" s="538" t="s">
        <v>649</v>
      </c>
      <c r="F502" s="539">
        <v>8500</v>
      </c>
    </row>
    <row r="503" spans="1:6" ht="16.5" customHeight="1">
      <c r="A503" s="530"/>
      <c r="B503" s="540"/>
      <c r="C503" s="541"/>
      <c r="D503" s="537" t="s">
        <v>355</v>
      </c>
      <c r="E503" s="538" t="s">
        <v>649</v>
      </c>
      <c r="F503" s="539">
        <v>1500</v>
      </c>
    </row>
    <row r="504" spans="1:6" ht="17.100000000000001" customHeight="1">
      <c r="A504" s="530"/>
      <c r="B504" s="1268"/>
      <c r="C504" s="1269"/>
      <c r="D504" s="537" t="s">
        <v>400</v>
      </c>
      <c r="E504" s="538" t="s">
        <v>614</v>
      </c>
      <c r="F504" s="539">
        <v>50000</v>
      </c>
    </row>
    <row r="505" spans="1:6" ht="17.100000000000001" customHeight="1">
      <c r="A505" s="530"/>
      <c r="B505" s="1268"/>
      <c r="C505" s="1269"/>
      <c r="D505" s="551" t="s">
        <v>418</v>
      </c>
      <c r="E505" s="552" t="s">
        <v>699</v>
      </c>
      <c r="F505" s="553">
        <v>100000</v>
      </c>
    </row>
    <row r="506" spans="1:6" ht="17.100000000000001" customHeight="1">
      <c r="A506" s="530"/>
      <c r="B506" s="540"/>
      <c r="C506" s="541"/>
      <c r="D506" s="537" t="s">
        <v>347</v>
      </c>
      <c r="E506" s="552" t="s">
        <v>699</v>
      </c>
      <c r="F506" s="594">
        <v>59500</v>
      </c>
    </row>
    <row r="507" spans="1:6" ht="17.100000000000001" customHeight="1">
      <c r="A507" s="530"/>
      <c r="B507" s="540"/>
      <c r="C507" s="541"/>
      <c r="D507" s="537" t="s">
        <v>348</v>
      </c>
      <c r="E507" s="552" t="s">
        <v>699</v>
      </c>
      <c r="F507" s="594">
        <v>10500</v>
      </c>
    </row>
    <row r="508" spans="1:6" ht="17.100000000000001" customHeight="1" thickBot="1">
      <c r="A508" s="530"/>
      <c r="B508" s="540"/>
      <c r="C508" s="541"/>
      <c r="D508" s="551" t="s">
        <v>403</v>
      </c>
      <c r="E508" s="552" t="s">
        <v>628</v>
      </c>
      <c r="F508" s="597">
        <v>80500</v>
      </c>
    </row>
    <row r="509" spans="1:6" ht="17.100000000000001" customHeight="1" thickBot="1">
      <c r="A509" s="526" t="s">
        <v>4</v>
      </c>
      <c r="B509" s="1277"/>
      <c r="C509" s="1278"/>
      <c r="D509" s="527"/>
      <c r="E509" s="528" t="s">
        <v>731</v>
      </c>
      <c r="F509" s="529">
        <f>SUM(F510,F522,F535,F626,F637,F689,F703)</f>
        <v>133929701</v>
      </c>
    </row>
    <row r="510" spans="1:6" ht="17.100000000000001" customHeight="1">
      <c r="A510" s="530"/>
      <c r="B510" s="1279" t="s">
        <v>244</v>
      </c>
      <c r="C510" s="1280"/>
      <c r="D510" s="531"/>
      <c r="E510" s="532" t="s">
        <v>245</v>
      </c>
      <c r="F510" s="533">
        <f>F511</f>
        <v>2557463</v>
      </c>
    </row>
    <row r="511" spans="1:6" ht="17.100000000000001" customHeight="1">
      <c r="A511" s="530"/>
      <c r="B511" s="1281"/>
      <c r="C511" s="1282"/>
      <c r="D511" s="1285" t="s">
        <v>583</v>
      </c>
      <c r="E511" s="1286"/>
      <c r="F511" s="534">
        <f>F512</f>
        <v>2557463</v>
      </c>
    </row>
    <row r="512" spans="1:6" ht="17.100000000000001" customHeight="1">
      <c r="A512" s="530"/>
      <c r="B512" s="1283"/>
      <c r="C512" s="1284"/>
      <c r="D512" s="1287" t="s">
        <v>584</v>
      </c>
      <c r="E512" s="1291"/>
      <c r="F512" s="539">
        <f>F513+F519</f>
        <v>2557463</v>
      </c>
    </row>
    <row r="513" spans="1:6" ht="17.100000000000001" customHeight="1">
      <c r="A513" s="530"/>
      <c r="B513" s="1283"/>
      <c r="C513" s="1284"/>
      <c r="D513" s="1289" t="s">
        <v>585</v>
      </c>
      <c r="E513" s="1292"/>
      <c r="F513" s="539">
        <f>SUM(F514:F517)</f>
        <v>2457783</v>
      </c>
    </row>
    <row r="514" spans="1:6" ht="17.100000000000001" customHeight="1">
      <c r="A514" s="530"/>
      <c r="B514" s="1283"/>
      <c r="C514" s="1284"/>
      <c r="D514" s="537" t="s">
        <v>527</v>
      </c>
      <c r="E514" s="538" t="s">
        <v>586</v>
      </c>
      <c r="F514" s="539">
        <v>1899489</v>
      </c>
    </row>
    <row r="515" spans="1:6" ht="17.100000000000001" customHeight="1">
      <c r="A515" s="530"/>
      <c r="B515" s="1283"/>
      <c r="C515" s="1284"/>
      <c r="D515" s="537" t="s">
        <v>587</v>
      </c>
      <c r="E515" s="538" t="s">
        <v>588</v>
      </c>
      <c r="F515" s="539">
        <v>151569</v>
      </c>
    </row>
    <row r="516" spans="1:6" ht="17.100000000000001" customHeight="1">
      <c r="A516" s="530"/>
      <c r="B516" s="1268"/>
      <c r="C516" s="1269"/>
      <c r="D516" s="537" t="s">
        <v>589</v>
      </c>
      <c r="E516" s="538" t="s">
        <v>590</v>
      </c>
      <c r="F516" s="539">
        <v>356474</v>
      </c>
    </row>
    <row r="517" spans="1:6">
      <c r="A517" s="530"/>
      <c r="B517" s="1268"/>
      <c r="C517" s="1269"/>
      <c r="D517" s="537" t="s">
        <v>591</v>
      </c>
      <c r="E517" s="538" t="s">
        <v>592</v>
      </c>
      <c r="F517" s="539">
        <v>50251</v>
      </c>
    </row>
    <row r="518" spans="1:6" ht="17.100000000000001" customHeight="1">
      <c r="A518" s="530"/>
      <c r="B518" s="540"/>
      <c r="C518" s="541"/>
      <c r="D518" s="1268"/>
      <c r="E518" s="1270"/>
      <c r="F518" s="1271"/>
    </row>
    <row r="519" spans="1:6" ht="17.100000000000001" customHeight="1">
      <c r="A519" s="530"/>
      <c r="B519" s="540"/>
      <c r="C519" s="541"/>
      <c r="D519" s="1266" t="s">
        <v>595</v>
      </c>
      <c r="E519" s="1267"/>
      <c r="F519" s="539">
        <f>SUM(F520:F521)</f>
        <v>99680</v>
      </c>
    </row>
    <row r="520" spans="1:6" ht="17.100000000000001" customHeight="1">
      <c r="A520" s="530"/>
      <c r="B520" s="540"/>
      <c r="C520" s="541"/>
      <c r="D520" s="537" t="s">
        <v>596</v>
      </c>
      <c r="E520" s="538" t="s">
        <v>597</v>
      </c>
      <c r="F520" s="539">
        <v>55000</v>
      </c>
    </row>
    <row r="521" spans="1:6" ht="17.100000000000001" customHeight="1">
      <c r="A521" s="530"/>
      <c r="B521" s="1268"/>
      <c r="C521" s="1269"/>
      <c r="D521" s="537" t="s">
        <v>617</v>
      </c>
      <c r="E521" s="538" t="s">
        <v>618</v>
      </c>
      <c r="F521" s="539">
        <v>44680</v>
      </c>
    </row>
    <row r="522" spans="1:6" ht="17.100000000000001" customHeight="1">
      <c r="A522" s="530"/>
      <c r="B522" s="1295" t="s">
        <v>732</v>
      </c>
      <c r="C522" s="1296"/>
      <c r="D522" s="542"/>
      <c r="E522" s="543" t="s">
        <v>733</v>
      </c>
      <c r="F522" s="544">
        <f>F523</f>
        <v>1010000</v>
      </c>
    </row>
    <row r="523" spans="1:6" ht="17.100000000000001" customHeight="1">
      <c r="A523" s="530"/>
      <c r="B523" s="540"/>
      <c r="C523" s="541"/>
      <c r="D523" s="1285" t="s">
        <v>583</v>
      </c>
      <c r="E523" s="1286"/>
      <c r="F523" s="534">
        <f>F524+F533</f>
        <v>1010000</v>
      </c>
    </row>
    <row r="524" spans="1:6" ht="17.100000000000001" customHeight="1">
      <c r="A524" s="530"/>
      <c r="B524" s="540"/>
      <c r="C524" s="541"/>
      <c r="D524" s="1287" t="s">
        <v>584</v>
      </c>
      <c r="E524" s="1291"/>
      <c r="F524" s="539">
        <f>F525+F528</f>
        <v>120000</v>
      </c>
    </row>
    <row r="525" spans="1:6" ht="17.100000000000001" customHeight="1">
      <c r="A525" s="530"/>
      <c r="B525" s="540"/>
      <c r="C525" s="541"/>
      <c r="D525" s="1289" t="s">
        <v>585</v>
      </c>
      <c r="E525" s="1292"/>
      <c r="F525" s="539">
        <f>F526</f>
        <v>5000</v>
      </c>
    </row>
    <row r="526" spans="1:6" ht="17.100000000000001" customHeight="1">
      <c r="A526" s="530"/>
      <c r="B526" s="1268"/>
      <c r="C526" s="1269"/>
      <c r="D526" s="537" t="s">
        <v>593</v>
      </c>
      <c r="E526" s="538" t="s">
        <v>594</v>
      </c>
      <c r="F526" s="539">
        <v>5000</v>
      </c>
    </row>
    <row r="527" spans="1:6" ht="17.100000000000001" customHeight="1">
      <c r="A527" s="530"/>
      <c r="B527" s="540"/>
      <c r="C527" s="541"/>
      <c r="D527" s="1268"/>
      <c r="E527" s="1270"/>
      <c r="F527" s="1271"/>
    </row>
    <row r="528" spans="1:6" ht="17.100000000000001" customHeight="1">
      <c r="A528" s="530"/>
      <c r="B528" s="540"/>
      <c r="C528" s="541"/>
      <c r="D528" s="1266" t="s">
        <v>595</v>
      </c>
      <c r="E528" s="1267"/>
      <c r="F528" s="539">
        <f>SUM(F529:F531)</f>
        <v>115000</v>
      </c>
    </row>
    <row r="529" spans="1:6" ht="17.100000000000001" customHeight="1">
      <c r="A529" s="530"/>
      <c r="B529" s="1268"/>
      <c r="C529" s="1269"/>
      <c r="D529" s="537" t="s">
        <v>598</v>
      </c>
      <c r="E529" s="538" t="s">
        <v>599</v>
      </c>
      <c r="F529" s="539">
        <v>20000</v>
      </c>
    </row>
    <row r="530" spans="1:6" ht="17.100000000000001" customHeight="1">
      <c r="A530" s="530"/>
      <c r="B530" s="1268"/>
      <c r="C530" s="1269"/>
      <c r="D530" s="537" t="s">
        <v>406</v>
      </c>
      <c r="E530" s="538" t="s">
        <v>608</v>
      </c>
      <c r="F530" s="539">
        <v>90000</v>
      </c>
    </row>
    <row r="531" spans="1:6" ht="17.100000000000001" customHeight="1">
      <c r="A531" s="530"/>
      <c r="B531" s="1268"/>
      <c r="C531" s="1269"/>
      <c r="D531" s="537" t="s">
        <v>609</v>
      </c>
      <c r="E531" s="538" t="s">
        <v>610</v>
      </c>
      <c r="F531" s="539">
        <v>5000</v>
      </c>
    </row>
    <row r="532" spans="1:6" ht="17.100000000000001" customHeight="1">
      <c r="A532" s="530"/>
      <c r="B532" s="540"/>
      <c r="C532" s="541"/>
      <c r="D532" s="1268"/>
      <c r="E532" s="1270"/>
      <c r="F532" s="1271"/>
    </row>
    <row r="533" spans="1:6" ht="17.100000000000001" customHeight="1">
      <c r="A533" s="530"/>
      <c r="B533" s="540"/>
      <c r="C533" s="541"/>
      <c r="D533" s="1293" t="s">
        <v>629</v>
      </c>
      <c r="E533" s="1294"/>
      <c r="F533" s="539">
        <f>F534</f>
        <v>890000</v>
      </c>
    </row>
    <row r="534" spans="1:6" ht="17.100000000000001" customHeight="1">
      <c r="A534" s="530"/>
      <c r="B534" s="540"/>
      <c r="C534" s="541"/>
      <c r="D534" s="551" t="s">
        <v>734</v>
      </c>
      <c r="E534" s="538" t="s">
        <v>735</v>
      </c>
      <c r="F534" s="539">
        <v>890000</v>
      </c>
    </row>
    <row r="535" spans="1:6" ht="17.100000000000001" customHeight="1">
      <c r="A535" s="530"/>
      <c r="B535" s="1295" t="s">
        <v>331</v>
      </c>
      <c r="C535" s="1296"/>
      <c r="D535" s="542"/>
      <c r="E535" s="598" t="s">
        <v>736</v>
      </c>
      <c r="F535" s="544">
        <f>F536+F609</f>
        <v>94218526</v>
      </c>
    </row>
    <row r="536" spans="1:6" ht="17.100000000000001" customHeight="1">
      <c r="A536" s="530"/>
      <c r="B536" s="540"/>
      <c r="C536" s="541"/>
      <c r="D536" s="1306" t="s">
        <v>316</v>
      </c>
      <c r="E536" s="1362"/>
      <c r="F536" s="547">
        <f>F537+F565+F568</f>
        <v>83290104</v>
      </c>
    </row>
    <row r="537" spans="1:6" ht="17.100000000000001" customHeight="1">
      <c r="A537" s="530"/>
      <c r="B537" s="540"/>
      <c r="C537" s="541"/>
      <c r="D537" s="1287" t="s">
        <v>584</v>
      </c>
      <c r="E537" s="1291"/>
      <c r="F537" s="566">
        <f>F538+F545</f>
        <v>48783980</v>
      </c>
    </row>
    <row r="538" spans="1:6" ht="17.100000000000001" customHeight="1">
      <c r="A538" s="530"/>
      <c r="B538" s="540"/>
      <c r="C538" s="541"/>
      <c r="D538" s="1289" t="s">
        <v>585</v>
      </c>
      <c r="E538" s="1292"/>
      <c r="F538" s="566">
        <f>SUM(F539:F543)</f>
        <v>40067155</v>
      </c>
    </row>
    <row r="539" spans="1:6" ht="17.100000000000001" customHeight="1">
      <c r="A539" s="530"/>
      <c r="B539" s="540"/>
      <c r="C539" s="541"/>
      <c r="D539" s="537" t="s">
        <v>527</v>
      </c>
      <c r="E539" s="538" t="s">
        <v>586</v>
      </c>
      <c r="F539" s="539">
        <v>31186340</v>
      </c>
    </row>
    <row r="540" spans="1:6" ht="17.100000000000001" customHeight="1">
      <c r="A540" s="530"/>
      <c r="B540" s="540"/>
      <c r="C540" s="541"/>
      <c r="D540" s="537" t="s">
        <v>587</v>
      </c>
      <c r="E540" s="538" t="s">
        <v>588</v>
      </c>
      <c r="F540" s="539">
        <v>2506644</v>
      </c>
    </row>
    <row r="541" spans="1:6" ht="17.100000000000001" customHeight="1">
      <c r="A541" s="530"/>
      <c r="B541" s="540"/>
      <c r="C541" s="541"/>
      <c r="D541" s="537" t="s">
        <v>589</v>
      </c>
      <c r="E541" s="538" t="s">
        <v>590</v>
      </c>
      <c r="F541" s="539">
        <v>5542820</v>
      </c>
    </row>
    <row r="542" spans="1:6" ht="17.100000000000001" customHeight="1">
      <c r="A542" s="530"/>
      <c r="B542" s="540"/>
      <c r="C542" s="541"/>
      <c r="D542" s="537" t="s">
        <v>591</v>
      </c>
      <c r="E542" s="538" t="s">
        <v>592</v>
      </c>
      <c r="F542" s="539">
        <v>781351</v>
      </c>
    </row>
    <row r="543" spans="1:6" ht="17.100000000000001" customHeight="1">
      <c r="A543" s="530"/>
      <c r="B543" s="540"/>
      <c r="C543" s="541"/>
      <c r="D543" s="537" t="s">
        <v>593</v>
      </c>
      <c r="E543" s="538" t="s">
        <v>594</v>
      </c>
      <c r="F543" s="539">
        <v>50000</v>
      </c>
    </row>
    <row r="544" spans="1:6" ht="17.100000000000001" customHeight="1">
      <c r="A544" s="530"/>
      <c r="B544" s="540"/>
      <c r="C544" s="541"/>
      <c r="D544" s="1268"/>
      <c r="E544" s="1270"/>
      <c r="F544" s="1271"/>
    </row>
    <row r="545" spans="1:9" ht="17.100000000000001" customHeight="1">
      <c r="A545" s="530"/>
      <c r="B545" s="540"/>
      <c r="C545" s="581"/>
      <c r="D545" s="1363" t="s">
        <v>595</v>
      </c>
      <c r="E545" s="1364"/>
      <c r="F545" s="539">
        <f>SUM(F546:F563)</f>
        <v>8716825</v>
      </c>
    </row>
    <row r="546" spans="1:9" ht="17.100000000000001" customHeight="1">
      <c r="A546" s="530"/>
      <c r="B546" s="540"/>
      <c r="C546" s="581"/>
      <c r="D546" s="548" t="s">
        <v>596</v>
      </c>
      <c r="E546" s="538" t="s">
        <v>597</v>
      </c>
      <c r="F546" s="566">
        <v>495000</v>
      </c>
    </row>
    <row r="547" spans="1:9" ht="17.100000000000001" customHeight="1">
      <c r="A547" s="530"/>
      <c r="B547" s="540"/>
      <c r="C547" s="541"/>
      <c r="D547" s="537" t="s">
        <v>598</v>
      </c>
      <c r="E547" s="538" t="s">
        <v>599</v>
      </c>
      <c r="F547" s="539">
        <f>20000+2380000</f>
        <v>2400000</v>
      </c>
      <c r="H547" s="514" t="s">
        <v>737</v>
      </c>
      <c r="I547" s="514" t="s">
        <v>738</v>
      </c>
    </row>
    <row r="548" spans="1:9" ht="17.100000000000001" customHeight="1">
      <c r="A548" s="530"/>
      <c r="B548" s="540"/>
      <c r="C548" s="541"/>
      <c r="D548" s="537" t="s">
        <v>602</v>
      </c>
      <c r="E548" s="538" t="s">
        <v>603</v>
      </c>
      <c r="F548" s="539">
        <v>1355000</v>
      </c>
    </row>
    <row r="549" spans="1:9" ht="17.100000000000001" customHeight="1">
      <c r="A549" s="530"/>
      <c r="B549" s="540"/>
      <c r="C549" s="541"/>
      <c r="D549" s="537" t="s">
        <v>604</v>
      </c>
      <c r="E549" s="538" t="s">
        <v>605</v>
      </c>
      <c r="F549" s="539">
        <v>400000</v>
      </c>
    </row>
    <row r="550" spans="1:9" ht="17.100000000000001" customHeight="1">
      <c r="A550" s="530"/>
      <c r="B550" s="540"/>
      <c r="C550" s="541"/>
      <c r="D550" s="537" t="s">
        <v>606</v>
      </c>
      <c r="E550" s="538" t="s">
        <v>607</v>
      </c>
      <c r="F550" s="539">
        <v>60000</v>
      </c>
    </row>
    <row r="551" spans="1:9" ht="17.100000000000001" customHeight="1">
      <c r="A551" s="530"/>
      <c r="B551" s="540"/>
      <c r="C551" s="541"/>
      <c r="D551" s="537" t="s">
        <v>406</v>
      </c>
      <c r="E551" s="538" t="s">
        <v>608</v>
      </c>
      <c r="F551" s="539">
        <f>35000+1378497</f>
        <v>1413497</v>
      </c>
      <c r="H551" s="514" t="s">
        <v>739</v>
      </c>
      <c r="I551" s="514" t="s">
        <v>740</v>
      </c>
    </row>
    <row r="552" spans="1:9" ht="16.5" customHeight="1">
      <c r="A552" s="530"/>
      <c r="B552" s="540"/>
      <c r="C552" s="541"/>
      <c r="D552" s="537" t="s">
        <v>609</v>
      </c>
      <c r="E552" s="538" t="s">
        <v>610</v>
      </c>
      <c r="F552" s="539">
        <v>240000</v>
      </c>
    </row>
    <row r="553" spans="1:9" ht="17.100000000000001" customHeight="1">
      <c r="A553" s="530"/>
      <c r="B553" s="540"/>
      <c r="C553" s="541"/>
      <c r="D553" s="537" t="s">
        <v>685</v>
      </c>
      <c r="E553" s="538" t="s">
        <v>675</v>
      </c>
      <c r="F553" s="539">
        <v>10000</v>
      </c>
    </row>
    <row r="554" spans="1:9" ht="17.100000000000001" customHeight="1">
      <c r="A554" s="530"/>
      <c r="B554" s="540"/>
      <c r="C554" s="541"/>
      <c r="D554" s="537" t="s">
        <v>664</v>
      </c>
      <c r="E554" s="538" t="s">
        <v>649</v>
      </c>
      <c r="F554" s="539">
        <v>60000</v>
      </c>
    </row>
    <row r="555" spans="1:9" ht="17.100000000000001" customHeight="1">
      <c r="A555" s="530"/>
      <c r="B555" s="540"/>
      <c r="C555" s="541"/>
      <c r="D555" s="537" t="s">
        <v>611</v>
      </c>
      <c r="E555" s="538" t="s">
        <v>612</v>
      </c>
      <c r="F555" s="539">
        <v>60000</v>
      </c>
    </row>
    <row r="556" spans="1:9" ht="17.100000000000001" customHeight="1">
      <c r="A556" s="530"/>
      <c r="B556" s="540"/>
      <c r="C556" s="541"/>
      <c r="D556" s="537" t="s">
        <v>613</v>
      </c>
      <c r="E556" s="538" t="s">
        <v>614</v>
      </c>
      <c r="F556" s="539">
        <v>150000</v>
      </c>
    </row>
    <row r="557" spans="1:9" ht="17.100000000000001" customHeight="1">
      <c r="A557" s="530"/>
      <c r="B557" s="540"/>
      <c r="C557" s="541"/>
      <c r="D557" s="537" t="s">
        <v>698</v>
      </c>
      <c r="E557" s="538" t="s">
        <v>699</v>
      </c>
      <c r="F557" s="539">
        <v>250000</v>
      </c>
    </row>
    <row r="558" spans="1:9" ht="17.100000000000001" customHeight="1">
      <c r="A558" s="530"/>
      <c r="B558" s="540"/>
      <c r="C558" s="541"/>
      <c r="D558" s="537" t="s">
        <v>615</v>
      </c>
      <c r="E558" s="538" t="s">
        <v>616</v>
      </c>
      <c r="F558" s="539">
        <v>200000</v>
      </c>
    </row>
    <row r="559" spans="1:9" ht="17.100000000000001" customHeight="1">
      <c r="A559" s="530"/>
      <c r="B559" s="540"/>
      <c r="C559" s="541"/>
      <c r="D559" s="537" t="s">
        <v>617</v>
      </c>
      <c r="E559" s="538" t="s">
        <v>618</v>
      </c>
      <c r="F559" s="539">
        <v>1143328</v>
      </c>
    </row>
    <row r="560" spans="1:9" ht="17.100000000000001" customHeight="1">
      <c r="A560" s="530"/>
      <c r="B560" s="540"/>
      <c r="C560" s="541"/>
      <c r="D560" s="537" t="s">
        <v>621</v>
      </c>
      <c r="E560" s="538" t="s">
        <v>622</v>
      </c>
      <c r="F560" s="539">
        <v>10000</v>
      </c>
    </row>
    <row r="561" spans="1:6" ht="17.100000000000001" customHeight="1">
      <c r="A561" s="530"/>
      <c r="B561" s="540"/>
      <c r="C561" s="541"/>
      <c r="D561" s="537" t="s">
        <v>623</v>
      </c>
      <c r="E561" s="538" t="s">
        <v>624</v>
      </c>
      <c r="F561" s="539">
        <v>170000</v>
      </c>
    </row>
    <row r="562" spans="1:6" ht="17.100000000000001" customHeight="1">
      <c r="A562" s="530"/>
      <c r="B562" s="540"/>
      <c r="C562" s="541"/>
      <c r="D562" s="551" t="s">
        <v>634</v>
      </c>
      <c r="E562" s="552" t="s">
        <v>635</v>
      </c>
      <c r="F562" s="553">
        <v>100000</v>
      </c>
    </row>
    <row r="563" spans="1:6" ht="17.100000000000001" customHeight="1">
      <c r="A563" s="530"/>
      <c r="B563" s="540"/>
      <c r="C563" s="581"/>
      <c r="D563" s="548" t="s">
        <v>627</v>
      </c>
      <c r="E563" s="599" t="s">
        <v>628</v>
      </c>
      <c r="F563" s="539">
        <v>200000</v>
      </c>
    </row>
    <row r="564" spans="1:6" ht="17.100000000000001" customHeight="1">
      <c r="A564" s="530"/>
      <c r="B564" s="540"/>
      <c r="C564" s="541"/>
      <c r="D564" s="1268"/>
      <c r="E564" s="1270"/>
      <c r="F564" s="1271"/>
    </row>
    <row r="565" spans="1:6" ht="17.100000000000001" customHeight="1">
      <c r="A565" s="530"/>
      <c r="B565" s="540"/>
      <c r="C565" s="541"/>
      <c r="D565" s="1293" t="s">
        <v>629</v>
      </c>
      <c r="E565" s="1294"/>
      <c r="F565" s="539">
        <f>F566</f>
        <v>65000</v>
      </c>
    </row>
    <row r="566" spans="1:6" ht="17.100000000000001" customHeight="1">
      <c r="A566" s="530"/>
      <c r="B566" s="540"/>
      <c r="C566" s="541"/>
      <c r="D566" s="550" t="s">
        <v>630</v>
      </c>
      <c r="E566" s="555" t="s">
        <v>631</v>
      </c>
      <c r="F566" s="566">
        <v>65000</v>
      </c>
    </row>
    <row r="567" spans="1:6" ht="17.100000000000001" customHeight="1">
      <c r="A567" s="530"/>
      <c r="B567" s="540"/>
      <c r="C567" s="541"/>
      <c r="D567" s="1268"/>
      <c r="E567" s="1270"/>
      <c r="F567" s="1271"/>
    </row>
    <row r="568" spans="1:6" ht="17.100000000000001" customHeight="1">
      <c r="A568" s="530"/>
      <c r="B568" s="540"/>
      <c r="C568" s="581"/>
      <c r="D568" s="1361" t="s">
        <v>647</v>
      </c>
      <c r="E568" s="1361"/>
      <c r="F568" s="539">
        <f>SUM(F569:F607)</f>
        <v>34441124</v>
      </c>
    </row>
    <row r="569" spans="1:6" ht="17.100000000000001" customHeight="1">
      <c r="A569" s="530"/>
      <c r="B569" s="540"/>
      <c r="C569" s="581"/>
      <c r="D569" s="600" t="s">
        <v>370</v>
      </c>
      <c r="E569" s="555" t="s">
        <v>631</v>
      </c>
      <c r="F569" s="539">
        <f>21250</f>
        <v>21250</v>
      </c>
    </row>
    <row r="570" spans="1:6" ht="17.100000000000001" customHeight="1">
      <c r="A570" s="530"/>
      <c r="B570" s="540"/>
      <c r="C570" s="581"/>
      <c r="D570" s="601" t="s">
        <v>371</v>
      </c>
      <c r="E570" s="602" t="s">
        <v>631</v>
      </c>
      <c r="F570" s="553">
        <v>3750</v>
      </c>
    </row>
    <row r="571" spans="1:6" ht="17.100000000000001" customHeight="1">
      <c r="A571" s="530"/>
      <c r="B571" s="540"/>
      <c r="C571" s="581"/>
      <c r="D571" s="603" t="s">
        <v>358</v>
      </c>
      <c r="E571" s="599" t="s">
        <v>741</v>
      </c>
      <c r="F571" s="539">
        <v>14960</v>
      </c>
    </row>
    <row r="572" spans="1:6" ht="17.100000000000001" customHeight="1">
      <c r="A572" s="530"/>
      <c r="B572" s="540"/>
      <c r="C572" s="581"/>
      <c r="D572" s="603" t="s">
        <v>359</v>
      </c>
      <c r="E572" s="599" t="s">
        <v>741</v>
      </c>
      <c r="F572" s="539">
        <v>2640</v>
      </c>
    </row>
    <row r="573" spans="1:6" ht="17.100000000000001" customHeight="1">
      <c r="A573" s="530"/>
      <c r="B573" s="1268"/>
      <c r="C573" s="1269"/>
      <c r="D573" s="550" t="s">
        <v>362</v>
      </c>
      <c r="E573" s="555" t="s">
        <v>586</v>
      </c>
      <c r="F573" s="566">
        <v>18015923</v>
      </c>
    </row>
    <row r="574" spans="1:6" ht="17.100000000000001" customHeight="1">
      <c r="A574" s="530"/>
      <c r="B574" s="1268"/>
      <c r="C574" s="1269"/>
      <c r="D574" s="537" t="s">
        <v>363</v>
      </c>
      <c r="E574" s="538" t="s">
        <v>586</v>
      </c>
      <c r="F574" s="539">
        <v>3179281</v>
      </c>
    </row>
    <row r="575" spans="1:6" ht="17.100000000000001" customHeight="1">
      <c r="A575" s="530"/>
      <c r="B575" s="1268"/>
      <c r="C575" s="1269"/>
      <c r="D575" s="537" t="s">
        <v>364</v>
      </c>
      <c r="E575" s="538" t="s">
        <v>588</v>
      </c>
      <c r="F575" s="539">
        <v>1065275</v>
      </c>
    </row>
    <row r="576" spans="1:6" ht="17.100000000000001" customHeight="1">
      <c r="A576" s="530"/>
      <c r="B576" s="1268"/>
      <c r="C576" s="1269"/>
      <c r="D576" s="537" t="s">
        <v>365</v>
      </c>
      <c r="E576" s="538" t="s">
        <v>588</v>
      </c>
      <c r="F576" s="539">
        <v>187990</v>
      </c>
    </row>
    <row r="577" spans="1:8" ht="17.100000000000001" customHeight="1">
      <c r="A577" s="530"/>
      <c r="B577" s="1268"/>
      <c r="C577" s="1269"/>
      <c r="D577" s="537" t="s">
        <v>334</v>
      </c>
      <c r="E577" s="538" t="s">
        <v>590</v>
      </c>
      <c r="F577" s="539">
        <f>3364387+21038</f>
        <v>3385425</v>
      </c>
      <c r="H577" s="514" t="s">
        <v>742</v>
      </c>
    </row>
    <row r="578" spans="1:8" ht="17.100000000000001" customHeight="1">
      <c r="A578" s="530"/>
      <c r="B578" s="1268"/>
      <c r="C578" s="1269"/>
      <c r="D578" s="537" t="s">
        <v>335</v>
      </c>
      <c r="E578" s="538" t="s">
        <v>590</v>
      </c>
      <c r="F578" s="539">
        <f>593716+3713</f>
        <v>597429</v>
      </c>
      <c r="H578" s="514" t="s">
        <v>743</v>
      </c>
    </row>
    <row r="579" spans="1:8" ht="17.100000000000001" customHeight="1">
      <c r="A579" s="530"/>
      <c r="B579" s="1268"/>
      <c r="C579" s="1269"/>
      <c r="D579" s="537" t="s">
        <v>366</v>
      </c>
      <c r="E579" s="538" t="s">
        <v>592</v>
      </c>
      <c r="F579" s="539">
        <v>474339</v>
      </c>
    </row>
    <row r="580" spans="1:8" ht="17.100000000000001" customHeight="1">
      <c r="A580" s="530"/>
      <c r="B580" s="1268"/>
      <c r="C580" s="1269"/>
      <c r="D580" s="537" t="s">
        <v>367</v>
      </c>
      <c r="E580" s="538" t="s">
        <v>592</v>
      </c>
      <c r="F580" s="539">
        <v>83707</v>
      </c>
    </row>
    <row r="581" spans="1:8" ht="17.100000000000001" customHeight="1">
      <c r="A581" s="530"/>
      <c r="B581" s="1268"/>
      <c r="C581" s="1269"/>
      <c r="D581" s="537" t="s">
        <v>336</v>
      </c>
      <c r="E581" s="538" t="s">
        <v>594</v>
      </c>
      <c r="F581" s="539">
        <f>1513000+119213+69700</f>
        <v>1701913</v>
      </c>
      <c r="H581" s="514" t="s">
        <v>744</v>
      </c>
    </row>
    <row r="582" spans="1:8" ht="17.100000000000001" customHeight="1">
      <c r="A582" s="530"/>
      <c r="B582" s="540"/>
      <c r="C582" s="541"/>
      <c r="D582" s="537" t="s">
        <v>337</v>
      </c>
      <c r="E582" s="538" t="s">
        <v>594</v>
      </c>
      <c r="F582" s="539">
        <f>267000+21038+12300</f>
        <v>300338</v>
      </c>
      <c r="H582" s="514" t="s">
        <v>742</v>
      </c>
    </row>
    <row r="583" spans="1:8" ht="17.100000000000001" customHeight="1">
      <c r="A583" s="530"/>
      <c r="B583" s="1268"/>
      <c r="C583" s="1269"/>
      <c r="D583" s="537" t="s">
        <v>339</v>
      </c>
      <c r="E583" s="538" t="s">
        <v>599</v>
      </c>
      <c r="F583" s="539">
        <f>260100+8500</f>
        <v>268600</v>
      </c>
      <c r="H583" s="514" t="s">
        <v>745</v>
      </c>
    </row>
    <row r="584" spans="1:8" ht="17.100000000000001" customHeight="1">
      <c r="A584" s="530"/>
      <c r="B584" s="1268"/>
      <c r="C584" s="1269"/>
      <c r="D584" s="537" t="s">
        <v>340</v>
      </c>
      <c r="E584" s="538" t="s">
        <v>599</v>
      </c>
      <c r="F584" s="539">
        <f>45900+1500</f>
        <v>47400</v>
      </c>
      <c r="H584" s="514" t="s">
        <v>746</v>
      </c>
    </row>
    <row r="585" spans="1:8" ht="17.100000000000001" customHeight="1">
      <c r="A585" s="530"/>
      <c r="B585" s="1268"/>
      <c r="C585" s="1269"/>
      <c r="D585" s="537" t="s">
        <v>372</v>
      </c>
      <c r="E585" s="538" t="s">
        <v>603</v>
      </c>
      <c r="F585" s="539">
        <v>263500</v>
      </c>
    </row>
    <row r="586" spans="1:8" ht="17.100000000000001" customHeight="1">
      <c r="A586" s="530"/>
      <c r="B586" s="540"/>
      <c r="C586" s="541"/>
      <c r="D586" s="537" t="s">
        <v>373</v>
      </c>
      <c r="E586" s="538" t="s">
        <v>603</v>
      </c>
      <c r="F586" s="539">
        <v>46500</v>
      </c>
    </row>
    <row r="587" spans="1:8" ht="17.100000000000001" customHeight="1">
      <c r="A587" s="530"/>
      <c r="B587" s="540"/>
      <c r="C587" s="541"/>
      <c r="D587" s="537" t="s">
        <v>374</v>
      </c>
      <c r="E587" s="538" t="s">
        <v>607</v>
      </c>
      <c r="F587" s="539">
        <v>25500</v>
      </c>
    </row>
    <row r="588" spans="1:8" ht="17.100000000000001" customHeight="1">
      <c r="A588" s="530"/>
      <c r="B588" s="540"/>
      <c r="C588" s="541"/>
      <c r="D588" s="537" t="s">
        <v>375</v>
      </c>
      <c r="E588" s="538" t="s">
        <v>607</v>
      </c>
      <c r="F588" s="539">
        <v>4500</v>
      </c>
    </row>
    <row r="589" spans="1:8" ht="17.100000000000001" customHeight="1">
      <c r="A589" s="530"/>
      <c r="B589" s="1268"/>
      <c r="C589" s="1269"/>
      <c r="D589" s="537" t="s">
        <v>341</v>
      </c>
      <c r="E589" s="538" t="s">
        <v>608</v>
      </c>
      <c r="F589" s="539">
        <f>557178+1808800+30600</f>
        <v>2396578</v>
      </c>
      <c r="H589" s="514" t="s">
        <v>747</v>
      </c>
    </row>
    <row r="590" spans="1:8" ht="17.100000000000001" customHeight="1">
      <c r="A590" s="530"/>
      <c r="B590" s="1268"/>
      <c r="C590" s="1269"/>
      <c r="D590" s="537" t="s">
        <v>342</v>
      </c>
      <c r="E590" s="538" t="s">
        <v>608</v>
      </c>
      <c r="F590" s="539">
        <f>98326+319200+5400</f>
        <v>422926</v>
      </c>
      <c r="H590" s="514" t="s">
        <v>748</v>
      </c>
    </row>
    <row r="591" spans="1:8" ht="26.25" hidden="1" customHeight="1">
      <c r="A591" s="530"/>
      <c r="B591" s="1268"/>
      <c r="C591" s="1269"/>
      <c r="D591" s="537" t="s">
        <v>459</v>
      </c>
      <c r="E591" s="538" t="s">
        <v>749</v>
      </c>
      <c r="F591" s="539"/>
      <c r="H591" s="514" t="s">
        <v>750</v>
      </c>
    </row>
    <row r="592" spans="1:8" ht="16.5" customHeight="1">
      <c r="A592" s="530"/>
      <c r="B592" s="540"/>
      <c r="C592" s="541"/>
      <c r="D592" s="537" t="s">
        <v>343</v>
      </c>
      <c r="E592" s="538" t="s">
        <v>675</v>
      </c>
      <c r="F592" s="539">
        <f>8500+23290+17850</f>
        <v>49640</v>
      </c>
      <c r="H592" s="514" t="s">
        <v>751</v>
      </c>
    </row>
    <row r="593" spans="1:9" ht="16.5" customHeight="1">
      <c r="A593" s="530"/>
      <c r="B593" s="540"/>
      <c r="C593" s="541"/>
      <c r="D593" s="537" t="s">
        <v>344</v>
      </c>
      <c r="E593" s="538" t="s">
        <v>675</v>
      </c>
      <c r="F593" s="539">
        <f>1500+4110+3150</f>
        <v>8760</v>
      </c>
      <c r="H593" s="514" t="s">
        <v>752</v>
      </c>
    </row>
    <row r="594" spans="1:9" ht="17.100000000000001" customHeight="1">
      <c r="A594" s="530"/>
      <c r="B594" s="1268"/>
      <c r="C594" s="1269"/>
      <c r="D594" s="537" t="s">
        <v>354</v>
      </c>
      <c r="E594" s="538" t="s">
        <v>649</v>
      </c>
      <c r="F594" s="539">
        <f>17000+703800+221000</f>
        <v>941800</v>
      </c>
      <c r="H594" s="514" t="s">
        <v>753</v>
      </c>
    </row>
    <row r="595" spans="1:9" ht="16.5" customHeight="1">
      <c r="A595" s="530"/>
      <c r="B595" s="540"/>
      <c r="C595" s="541"/>
      <c r="D595" s="537" t="s">
        <v>355</v>
      </c>
      <c r="E595" s="538" t="s">
        <v>649</v>
      </c>
      <c r="F595" s="539">
        <f>3000+124200+39000</f>
        <v>166200</v>
      </c>
      <c r="H595" s="514" t="s">
        <v>754</v>
      </c>
    </row>
    <row r="596" spans="1:9" ht="16.5" hidden="1" customHeight="1">
      <c r="A596" s="530"/>
      <c r="B596" s="1268"/>
      <c r="C596" s="1269"/>
      <c r="D596" s="537" t="s">
        <v>460</v>
      </c>
      <c r="E596" s="538" t="s">
        <v>612</v>
      </c>
      <c r="F596" s="539"/>
      <c r="H596" s="514" t="s">
        <v>755</v>
      </c>
    </row>
    <row r="597" spans="1:9" ht="20.100000000000001" hidden="1" customHeight="1">
      <c r="A597" s="530"/>
      <c r="B597" s="1268"/>
      <c r="C597" s="1269"/>
      <c r="D597" s="537" t="s">
        <v>461</v>
      </c>
      <c r="E597" s="538" t="s">
        <v>612</v>
      </c>
      <c r="F597" s="539"/>
      <c r="H597" s="514" t="s">
        <v>756</v>
      </c>
    </row>
    <row r="598" spans="1:9" ht="17.100000000000001" customHeight="1">
      <c r="A598" s="530"/>
      <c r="B598" s="1268"/>
      <c r="C598" s="1269"/>
      <c r="D598" s="537" t="s">
        <v>345</v>
      </c>
      <c r="E598" s="538" t="s">
        <v>614</v>
      </c>
      <c r="F598" s="539">
        <f>102000+8500</f>
        <v>110500</v>
      </c>
      <c r="H598" s="514" t="s">
        <v>745</v>
      </c>
    </row>
    <row r="599" spans="1:9" ht="17.100000000000001" customHeight="1">
      <c r="A599" s="530"/>
      <c r="B599" s="1268"/>
      <c r="C599" s="1269"/>
      <c r="D599" s="537" t="s">
        <v>346</v>
      </c>
      <c r="E599" s="538" t="s">
        <v>614</v>
      </c>
      <c r="F599" s="539">
        <f>18000+1500</f>
        <v>19500</v>
      </c>
      <c r="H599" s="514" t="s">
        <v>746</v>
      </c>
    </row>
    <row r="600" spans="1:9" ht="17.100000000000001" customHeight="1">
      <c r="A600" s="530"/>
      <c r="B600" s="1268"/>
      <c r="C600" s="1269"/>
      <c r="D600" s="537" t="s">
        <v>347</v>
      </c>
      <c r="E600" s="538" t="s">
        <v>699</v>
      </c>
      <c r="F600" s="539">
        <f>51000+8500</f>
        <v>59500</v>
      </c>
      <c r="H600" s="514" t="s">
        <v>745</v>
      </c>
    </row>
    <row r="601" spans="1:9" ht="17.100000000000001" customHeight="1">
      <c r="A601" s="530"/>
      <c r="B601" s="540"/>
      <c r="C601" s="541"/>
      <c r="D601" s="537" t="s">
        <v>348</v>
      </c>
      <c r="E601" s="538" t="s">
        <v>699</v>
      </c>
      <c r="F601" s="539">
        <f>9000+1500</f>
        <v>10500</v>
      </c>
      <c r="H601" s="514" t="s">
        <v>746</v>
      </c>
    </row>
    <row r="602" spans="1:9" ht="17.100000000000001" customHeight="1">
      <c r="A602" s="530"/>
      <c r="B602" s="540"/>
      <c r="C602" s="541"/>
      <c r="D602" s="537" t="s">
        <v>376</v>
      </c>
      <c r="E602" s="538" t="s">
        <v>624</v>
      </c>
      <c r="F602" s="539">
        <v>25500</v>
      </c>
    </row>
    <row r="603" spans="1:9" ht="17.100000000000001" customHeight="1">
      <c r="A603" s="530"/>
      <c r="B603" s="540"/>
      <c r="C603" s="541"/>
      <c r="D603" s="537" t="s">
        <v>377</v>
      </c>
      <c r="E603" s="538" t="s">
        <v>624</v>
      </c>
      <c r="F603" s="539">
        <v>4500</v>
      </c>
    </row>
    <row r="604" spans="1:9" ht="17.100000000000001" customHeight="1">
      <c r="A604" s="530"/>
      <c r="B604" s="540"/>
      <c r="C604" s="541"/>
      <c r="D604" s="537" t="s">
        <v>349</v>
      </c>
      <c r="E604" s="552" t="s">
        <v>635</v>
      </c>
      <c r="F604" s="539">
        <f>12750+170000</f>
        <v>182750</v>
      </c>
    </row>
    <row r="605" spans="1:9" ht="17.100000000000001" customHeight="1">
      <c r="A605" s="530"/>
      <c r="B605" s="540"/>
      <c r="C605" s="541"/>
      <c r="D605" s="537" t="s">
        <v>350</v>
      </c>
      <c r="E605" s="552" t="s">
        <v>635</v>
      </c>
      <c r="F605" s="539">
        <f>2250+30000</f>
        <v>32250</v>
      </c>
    </row>
    <row r="606" spans="1:9" ht="17.100000000000001" customHeight="1">
      <c r="A606" s="530"/>
      <c r="B606" s="1268"/>
      <c r="C606" s="1269"/>
      <c r="D606" s="537" t="s">
        <v>378</v>
      </c>
      <c r="E606" s="538" t="s">
        <v>628</v>
      </c>
      <c r="F606" s="539">
        <v>272000</v>
      </c>
      <c r="I606" s="514" t="s">
        <v>757</v>
      </c>
    </row>
    <row r="607" spans="1:9" ht="17.100000000000001" customHeight="1">
      <c r="A607" s="530"/>
      <c r="B607" s="1268"/>
      <c r="C607" s="1269"/>
      <c r="D607" s="537" t="s">
        <v>379</v>
      </c>
      <c r="E607" s="538" t="s">
        <v>628</v>
      </c>
      <c r="F607" s="539">
        <v>48000</v>
      </c>
      <c r="I607" s="514" t="s">
        <v>758</v>
      </c>
    </row>
    <row r="608" spans="1:9" ht="17.100000000000001" customHeight="1">
      <c r="A608" s="530"/>
      <c r="B608" s="540"/>
      <c r="C608" s="541"/>
      <c r="D608" s="1268"/>
      <c r="E608" s="1270"/>
      <c r="F608" s="1271"/>
    </row>
    <row r="609" spans="1:8" ht="17.100000000000001" customHeight="1">
      <c r="A609" s="530"/>
      <c r="B609" s="540"/>
      <c r="C609" s="541"/>
      <c r="D609" s="1318" t="s">
        <v>636</v>
      </c>
      <c r="E609" s="1319"/>
      <c r="F609" s="534">
        <f>F610</f>
        <v>10928422</v>
      </c>
    </row>
    <row r="610" spans="1:8" ht="17.100000000000001" customHeight="1">
      <c r="A610" s="530"/>
      <c r="B610" s="540"/>
      <c r="C610" s="541"/>
      <c r="D610" s="1293" t="s">
        <v>702</v>
      </c>
      <c r="E610" s="1294"/>
      <c r="F610" s="539">
        <f>SUM(F611:F618)</f>
        <v>10928422</v>
      </c>
    </row>
    <row r="611" spans="1:8" ht="17.100000000000001" customHeight="1">
      <c r="A611" s="530"/>
      <c r="B611" s="1268"/>
      <c r="C611" s="1269"/>
      <c r="D611" s="537" t="s">
        <v>471</v>
      </c>
      <c r="E611" s="538" t="s">
        <v>638</v>
      </c>
      <c r="F611" s="539">
        <v>2010755</v>
      </c>
    </row>
    <row r="612" spans="1:8" ht="17.100000000000001" hidden="1" customHeight="1">
      <c r="A612" s="530"/>
      <c r="B612" s="540"/>
      <c r="C612" s="541"/>
      <c r="D612" s="537" t="s">
        <v>472</v>
      </c>
      <c r="E612" s="538" t="s">
        <v>638</v>
      </c>
      <c r="F612" s="539"/>
      <c r="G612" s="564"/>
    </row>
    <row r="613" spans="1:8" ht="17.100000000000001" customHeight="1">
      <c r="A613" s="530"/>
      <c r="B613" s="540"/>
      <c r="C613" s="541"/>
      <c r="D613" s="537" t="s">
        <v>414</v>
      </c>
      <c r="E613" s="538" t="s">
        <v>638</v>
      </c>
      <c r="F613" s="539">
        <v>4816667</v>
      </c>
      <c r="G613" s="564"/>
    </row>
    <row r="614" spans="1:8" ht="17.100000000000001" customHeight="1">
      <c r="A614" s="530"/>
      <c r="B614" s="540"/>
      <c r="C614" s="541"/>
      <c r="D614" s="537" t="s">
        <v>351</v>
      </c>
      <c r="E614" s="538" t="s">
        <v>638</v>
      </c>
      <c r="F614" s="539">
        <v>425000</v>
      </c>
      <c r="G614" s="564"/>
    </row>
    <row r="615" spans="1:8" ht="17.100000000000001" customHeight="1">
      <c r="A615" s="530"/>
      <c r="B615" s="540"/>
      <c r="C615" s="541"/>
      <c r="D615" s="537" t="s">
        <v>472</v>
      </c>
      <c r="E615" s="538" t="s">
        <v>638</v>
      </c>
      <c r="F615" s="539">
        <f>51000+75000</f>
        <v>126000</v>
      </c>
      <c r="G615" s="564"/>
      <c r="H615" s="514" t="s">
        <v>759</v>
      </c>
    </row>
    <row r="616" spans="1:8" ht="17.100000000000001" customHeight="1">
      <c r="A616" s="530"/>
      <c r="B616" s="1268"/>
      <c r="C616" s="1269"/>
      <c r="D616" s="537" t="s">
        <v>407</v>
      </c>
      <c r="E616" s="538" t="s">
        <v>655</v>
      </c>
      <c r="F616" s="539">
        <v>2850000</v>
      </c>
    </row>
    <row r="617" spans="1:8" ht="17.100000000000001" customHeight="1">
      <c r="A617" s="530"/>
      <c r="B617" s="1268"/>
      <c r="C617" s="1269"/>
      <c r="D617" s="537" t="s">
        <v>380</v>
      </c>
      <c r="E617" s="538" t="s">
        <v>655</v>
      </c>
      <c r="F617" s="539">
        <v>595000</v>
      </c>
    </row>
    <row r="618" spans="1:8" ht="17.100000000000001" customHeight="1">
      <c r="A618" s="530"/>
      <c r="B618" s="1268"/>
      <c r="C618" s="1269"/>
      <c r="D618" s="537" t="s">
        <v>689</v>
      </c>
      <c r="E618" s="538" t="s">
        <v>655</v>
      </c>
      <c r="F618" s="539">
        <v>105000</v>
      </c>
    </row>
    <row r="619" spans="1:8" ht="17.100000000000001" customHeight="1">
      <c r="A619" s="530"/>
      <c r="B619" s="1313"/>
      <c r="C619" s="1338"/>
      <c r="D619" s="1268"/>
      <c r="E619" s="1315"/>
      <c r="F619" s="1316"/>
    </row>
    <row r="620" spans="1:8" ht="17.100000000000001" customHeight="1">
      <c r="A620" s="530"/>
      <c r="B620" s="1313"/>
      <c r="C620" s="1338"/>
      <c r="D620" s="1266" t="s">
        <v>641</v>
      </c>
      <c r="E620" s="1297"/>
      <c r="F620" s="539">
        <f>SUM(F621:F625)</f>
        <v>6067667</v>
      </c>
    </row>
    <row r="621" spans="1:8" ht="17.100000000000001" customHeight="1">
      <c r="A621" s="530"/>
      <c r="B621" s="1313"/>
      <c r="C621" s="1338"/>
      <c r="D621" s="537" t="s">
        <v>414</v>
      </c>
      <c r="E621" s="538" t="s">
        <v>638</v>
      </c>
      <c r="F621" s="539">
        <v>4816667</v>
      </c>
    </row>
    <row r="622" spans="1:8" ht="17.100000000000001" customHeight="1">
      <c r="A622" s="530"/>
      <c r="B622" s="1313"/>
      <c r="C622" s="1338"/>
      <c r="D622" s="537" t="s">
        <v>351</v>
      </c>
      <c r="E622" s="538" t="s">
        <v>638</v>
      </c>
      <c r="F622" s="539">
        <v>425000</v>
      </c>
    </row>
    <row r="623" spans="1:8" ht="17.100000000000001" customHeight="1">
      <c r="A623" s="530"/>
      <c r="B623" s="1313"/>
      <c r="C623" s="1338"/>
      <c r="D623" s="537" t="s">
        <v>472</v>
      </c>
      <c r="E623" s="538" t="s">
        <v>638</v>
      </c>
      <c r="F623" s="539">
        <f>51000+75000</f>
        <v>126000</v>
      </c>
      <c r="H623" s="514" t="s">
        <v>759</v>
      </c>
    </row>
    <row r="624" spans="1:8" ht="17.100000000000001" customHeight="1">
      <c r="A624" s="530"/>
      <c r="B624" s="1313"/>
      <c r="C624" s="1338"/>
      <c r="D624" s="604" t="s">
        <v>380</v>
      </c>
      <c r="E624" s="558" t="s">
        <v>655</v>
      </c>
      <c r="F624" s="539">
        <v>595000</v>
      </c>
    </row>
    <row r="625" spans="1:6" ht="17.100000000000001" customHeight="1">
      <c r="A625" s="530"/>
      <c r="B625" s="1313"/>
      <c r="C625" s="1338"/>
      <c r="D625" s="551" t="s">
        <v>689</v>
      </c>
      <c r="E625" s="552" t="s">
        <v>655</v>
      </c>
      <c r="F625" s="553">
        <v>105000</v>
      </c>
    </row>
    <row r="626" spans="1:6" ht="17.100000000000001" customHeight="1">
      <c r="A626" s="530"/>
      <c r="B626" s="1295" t="s">
        <v>246</v>
      </c>
      <c r="C626" s="1296"/>
      <c r="D626" s="542"/>
      <c r="E626" s="543" t="s">
        <v>247</v>
      </c>
      <c r="F626" s="605">
        <f>F627</f>
        <v>20000</v>
      </c>
    </row>
    <row r="627" spans="1:6" ht="17.100000000000001" customHeight="1">
      <c r="A627" s="530"/>
      <c r="B627" s="1281"/>
      <c r="C627" s="1282"/>
      <c r="D627" s="1285" t="s">
        <v>316</v>
      </c>
      <c r="E627" s="1286"/>
      <c r="F627" s="534">
        <f>F628</f>
        <v>20000</v>
      </c>
    </row>
    <row r="628" spans="1:6" ht="17.100000000000001" customHeight="1">
      <c r="A628" s="530"/>
      <c r="B628" s="1283"/>
      <c r="C628" s="1284"/>
      <c r="D628" s="1287" t="s">
        <v>584</v>
      </c>
      <c r="E628" s="1291"/>
      <c r="F628" s="539">
        <f>F629+F634</f>
        <v>20000</v>
      </c>
    </row>
    <row r="629" spans="1:6" ht="17.100000000000001" customHeight="1">
      <c r="A629" s="530"/>
      <c r="B629" s="1283"/>
      <c r="C629" s="1284"/>
      <c r="D629" s="1289" t="s">
        <v>585</v>
      </c>
      <c r="E629" s="1292"/>
      <c r="F629" s="539">
        <f>SUM(F630:F632)</f>
        <v>10000</v>
      </c>
    </row>
    <row r="630" spans="1:6" ht="17.100000000000001" customHeight="1">
      <c r="A630" s="530"/>
      <c r="B630" s="1283"/>
      <c r="C630" s="1284"/>
      <c r="D630" s="537" t="s">
        <v>589</v>
      </c>
      <c r="E630" s="538" t="s">
        <v>590</v>
      </c>
      <c r="F630" s="539">
        <v>700</v>
      </c>
    </row>
    <row r="631" spans="1:6" ht="17.100000000000001" customHeight="1">
      <c r="A631" s="530"/>
      <c r="B631" s="1283"/>
      <c r="C631" s="1284"/>
      <c r="D631" s="537" t="s">
        <v>591</v>
      </c>
      <c r="E631" s="538" t="s">
        <v>592</v>
      </c>
      <c r="F631" s="539">
        <v>140</v>
      </c>
    </row>
    <row r="632" spans="1:6" ht="17.100000000000001" customHeight="1">
      <c r="A632" s="530"/>
      <c r="B632" s="1268"/>
      <c r="C632" s="1269"/>
      <c r="D632" s="537" t="s">
        <v>593</v>
      </c>
      <c r="E632" s="538" t="s">
        <v>594</v>
      </c>
      <c r="F632" s="539">
        <v>9160</v>
      </c>
    </row>
    <row r="633" spans="1:6" ht="17.100000000000001" customHeight="1">
      <c r="A633" s="530"/>
      <c r="B633" s="540"/>
      <c r="C633" s="541"/>
      <c r="D633" s="1268"/>
      <c r="E633" s="1270"/>
      <c r="F633" s="1271"/>
    </row>
    <row r="634" spans="1:6" ht="17.100000000000001" customHeight="1">
      <c r="A634" s="530"/>
      <c r="B634" s="540"/>
      <c r="C634" s="541"/>
      <c r="D634" s="1266" t="s">
        <v>595</v>
      </c>
      <c r="E634" s="1267"/>
      <c r="F634" s="539">
        <f>SUM(F635:F636)</f>
        <v>10000</v>
      </c>
    </row>
    <row r="635" spans="1:6" ht="17.100000000000001" customHeight="1">
      <c r="A635" s="530"/>
      <c r="B635" s="1268"/>
      <c r="C635" s="1269"/>
      <c r="D635" s="551" t="s">
        <v>598</v>
      </c>
      <c r="E635" s="552" t="s">
        <v>599</v>
      </c>
      <c r="F635" s="553">
        <v>1500</v>
      </c>
    </row>
    <row r="636" spans="1:6" ht="17.100000000000001" customHeight="1">
      <c r="A636" s="530"/>
      <c r="B636" s="1303"/>
      <c r="C636" s="1334"/>
      <c r="D636" s="537" t="s">
        <v>406</v>
      </c>
      <c r="E636" s="538" t="s">
        <v>608</v>
      </c>
      <c r="F636" s="606">
        <v>8500</v>
      </c>
    </row>
    <row r="637" spans="1:6" ht="17.100000000000001" customHeight="1">
      <c r="A637" s="530"/>
      <c r="B637" s="1279" t="s">
        <v>3</v>
      </c>
      <c r="C637" s="1280"/>
      <c r="D637" s="531"/>
      <c r="E637" s="532" t="s">
        <v>6</v>
      </c>
      <c r="F637" s="533">
        <f>F638+F682</f>
        <v>22520773</v>
      </c>
    </row>
    <row r="638" spans="1:6" ht="17.100000000000001" customHeight="1">
      <c r="A638" s="530"/>
      <c r="B638" s="1268"/>
      <c r="C638" s="1269"/>
      <c r="D638" s="1285" t="s">
        <v>583</v>
      </c>
      <c r="E638" s="1286"/>
      <c r="F638" s="534">
        <f>F639+F650+F653</f>
        <v>21820773</v>
      </c>
    </row>
    <row r="639" spans="1:6" ht="17.100000000000001" customHeight="1">
      <c r="A639" s="530"/>
      <c r="B639" s="1268"/>
      <c r="C639" s="1269"/>
      <c r="D639" s="1287" t="s">
        <v>584</v>
      </c>
      <c r="E639" s="1291"/>
      <c r="F639" s="539">
        <f>F640+F643</f>
        <v>18550603</v>
      </c>
    </row>
    <row r="640" spans="1:6" ht="17.100000000000001" customHeight="1">
      <c r="A640" s="530"/>
      <c r="B640" s="1268"/>
      <c r="C640" s="1269"/>
      <c r="D640" s="1289" t="s">
        <v>585</v>
      </c>
      <c r="E640" s="1292"/>
      <c r="F640" s="539">
        <f>F641</f>
        <v>25000</v>
      </c>
    </row>
    <row r="641" spans="1:12" ht="17.100000000000001" customHeight="1">
      <c r="A641" s="530"/>
      <c r="B641" s="1268"/>
      <c r="C641" s="1269"/>
      <c r="D641" s="537" t="s">
        <v>593</v>
      </c>
      <c r="E641" s="538" t="s">
        <v>594</v>
      </c>
      <c r="F641" s="539">
        <f>5000+20000</f>
        <v>25000</v>
      </c>
      <c r="H641" s="514" t="s">
        <v>760</v>
      </c>
      <c r="I641" s="514" t="s">
        <v>761</v>
      </c>
    </row>
    <row r="642" spans="1:12" ht="17.100000000000001" customHeight="1">
      <c r="A642" s="530"/>
      <c r="B642" s="1268"/>
      <c r="C642" s="1269"/>
      <c r="D642" s="1268"/>
      <c r="E642" s="1270"/>
      <c r="F642" s="1271"/>
    </row>
    <row r="643" spans="1:12" ht="17.100000000000001" customHeight="1">
      <c r="A643" s="530"/>
      <c r="B643" s="1268"/>
      <c r="C643" s="1269"/>
      <c r="D643" s="1317" t="s">
        <v>595</v>
      </c>
      <c r="E643" s="1267"/>
      <c r="F643" s="539">
        <f>SUM(F644:F648)</f>
        <v>18525603</v>
      </c>
    </row>
    <row r="644" spans="1:12" ht="17.100000000000001" customHeight="1">
      <c r="A644" s="530"/>
      <c r="B644" s="1268"/>
      <c r="C644" s="1270"/>
      <c r="D644" s="548" t="s">
        <v>661</v>
      </c>
      <c r="E644" s="549" t="s">
        <v>648</v>
      </c>
      <c r="F644" s="539">
        <f>30000+5000</f>
        <v>35000</v>
      </c>
      <c r="H644" s="514" t="s">
        <v>762</v>
      </c>
      <c r="I644" s="514" t="s">
        <v>763</v>
      </c>
    </row>
    <row r="645" spans="1:12" ht="17.100000000000001" customHeight="1">
      <c r="A645" s="530"/>
      <c r="B645" s="1268"/>
      <c r="C645" s="1269"/>
      <c r="D645" s="550" t="s">
        <v>598</v>
      </c>
      <c r="E645" s="538" t="s">
        <v>599</v>
      </c>
      <c r="F645" s="539">
        <f>5000+25000+200000</f>
        <v>230000</v>
      </c>
      <c r="H645" s="514" t="s">
        <v>764</v>
      </c>
      <c r="I645" s="514" t="s">
        <v>765</v>
      </c>
      <c r="J645" s="514" t="s">
        <v>766</v>
      </c>
    </row>
    <row r="646" spans="1:12" ht="17.100000000000001" customHeight="1">
      <c r="A646" s="530"/>
      <c r="B646" s="1268"/>
      <c r="C646" s="1269"/>
      <c r="D646" s="537" t="s">
        <v>406</v>
      </c>
      <c r="E646" s="538" t="s">
        <v>608</v>
      </c>
      <c r="F646" s="539">
        <f>15000+321500+45000+17544103+120000</f>
        <v>18045603</v>
      </c>
      <c r="H646" s="514" t="s">
        <v>767</v>
      </c>
      <c r="I646" s="514" t="s">
        <v>768</v>
      </c>
      <c r="J646" s="514" t="s">
        <v>769</v>
      </c>
      <c r="K646" s="514" t="s">
        <v>770</v>
      </c>
      <c r="L646" s="514" t="s">
        <v>771</v>
      </c>
    </row>
    <row r="647" spans="1:12" ht="17.100000000000001" customHeight="1">
      <c r="A647" s="530"/>
      <c r="B647" s="1268"/>
      <c r="C647" s="1269"/>
      <c r="D647" s="537" t="s">
        <v>685</v>
      </c>
      <c r="E647" s="538" t="s">
        <v>675</v>
      </c>
      <c r="F647" s="539">
        <f>25000+130000</f>
        <v>155000</v>
      </c>
      <c r="H647" s="514" t="s">
        <v>772</v>
      </c>
      <c r="I647" s="514" t="s">
        <v>773</v>
      </c>
    </row>
    <row r="648" spans="1:12" ht="17.100000000000001" customHeight="1">
      <c r="A648" s="530"/>
      <c r="B648" s="1268"/>
      <c r="C648" s="1269"/>
      <c r="D648" s="550" t="s">
        <v>664</v>
      </c>
      <c r="E648" s="555" t="s">
        <v>649</v>
      </c>
      <c r="F648" s="607">
        <f>60000</f>
        <v>60000</v>
      </c>
    </row>
    <row r="649" spans="1:12" ht="17.100000000000001" customHeight="1">
      <c r="A649" s="530"/>
      <c r="B649" s="1268"/>
      <c r="C649" s="1269"/>
      <c r="D649" s="1268"/>
      <c r="E649" s="1270"/>
      <c r="F649" s="1271"/>
    </row>
    <row r="650" spans="1:12" ht="17.100000000000001" customHeight="1">
      <c r="A650" s="530"/>
      <c r="B650" s="1268"/>
      <c r="C650" s="1269"/>
      <c r="D650" s="1293" t="s">
        <v>643</v>
      </c>
      <c r="E650" s="1294"/>
      <c r="F650" s="539">
        <f>F651</f>
        <v>287000</v>
      </c>
    </row>
    <row r="651" spans="1:12" ht="40.5" customHeight="1">
      <c r="A651" s="530"/>
      <c r="B651" s="1268"/>
      <c r="C651" s="1269"/>
      <c r="D651" s="537" t="s">
        <v>13</v>
      </c>
      <c r="E651" s="538" t="s">
        <v>774</v>
      </c>
      <c r="F651" s="539">
        <v>287000</v>
      </c>
    </row>
    <row r="652" spans="1:12">
      <c r="A652" s="530"/>
      <c r="B652" s="1268"/>
      <c r="C652" s="1269"/>
      <c r="D652" s="1268"/>
      <c r="E652" s="1270"/>
      <c r="F652" s="1271"/>
    </row>
    <row r="653" spans="1:12">
      <c r="A653" s="530"/>
      <c r="B653" s="1268"/>
      <c r="C653" s="1269"/>
      <c r="D653" s="1287" t="s">
        <v>647</v>
      </c>
      <c r="E653" s="1291"/>
      <c r="F653" s="539">
        <f>SUM(F654:F680)</f>
        <v>2983170</v>
      </c>
    </row>
    <row r="654" spans="1:12">
      <c r="A654" s="530"/>
      <c r="B654" s="1268"/>
      <c r="C654" s="1270"/>
      <c r="D654" s="608" t="s">
        <v>391</v>
      </c>
      <c r="E654" s="538" t="s">
        <v>586</v>
      </c>
      <c r="F654" s="535">
        <v>250000</v>
      </c>
    </row>
    <row r="655" spans="1:12">
      <c r="A655" s="530"/>
      <c r="B655" s="1268"/>
      <c r="C655" s="1270"/>
      <c r="D655" s="548" t="s">
        <v>362</v>
      </c>
      <c r="E655" s="538" t="s">
        <v>586</v>
      </c>
      <c r="F655" s="535">
        <v>81445</v>
      </c>
    </row>
    <row r="656" spans="1:12">
      <c r="A656" s="530"/>
      <c r="B656" s="1268"/>
      <c r="C656" s="1270"/>
      <c r="D656" s="548" t="s">
        <v>363</v>
      </c>
      <c r="E656" s="538" t="s">
        <v>586</v>
      </c>
      <c r="F656" s="535">
        <v>14373</v>
      </c>
    </row>
    <row r="657" spans="1:6">
      <c r="A657" s="530"/>
      <c r="B657" s="1268"/>
      <c r="C657" s="1270"/>
      <c r="D657" s="548" t="s">
        <v>393</v>
      </c>
      <c r="E657" s="538" t="s">
        <v>590</v>
      </c>
      <c r="F657" s="535">
        <v>43550</v>
      </c>
    </row>
    <row r="658" spans="1:6">
      <c r="A658" s="530"/>
      <c r="B658" s="1268"/>
      <c r="C658" s="1270"/>
      <c r="D658" s="548" t="s">
        <v>334</v>
      </c>
      <c r="E658" s="538" t="s">
        <v>590</v>
      </c>
      <c r="F658" s="535">
        <v>14155</v>
      </c>
    </row>
    <row r="659" spans="1:6">
      <c r="A659" s="530"/>
      <c r="B659" s="1268"/>
      <c r="C659" s="1270"/>
      <c r="D659" s="548" t="s">
        <v>335</v>
      </c>
      <c r="E659" s="538" t="s">
        <v>590</v>
      </c>
      <c r="F659" s="535">
        <v>2498</v>
      </c>
    </row>
    <row r="660" spans="1:6">
      <c r="A660" s="530"/>
      <c r="B660" s="1268"/>
      <c r="C660" s="1270"/>
      <c r="D660" s="548" t="s">
        <v>394</v>
      </c>
      <c r="E660" s="538" t="s">
        <v>592</v>
      </c>
      <c r="F660" s="535">
        <v>6450</v>
      </c>
    </row>
    <row r="661" spans="1:6">
      <c r="A661" s="530"/>
      <c r="B661" s="1268"/>
      <c r="C661" s="1270"/>
      <c r="D661" s="548" t="s">
        <v>366</v>
      </c>
      <c r="E661" s="538" t="s">
        <v>592</v>
      </c>
      <c r="F661" s="535">
        <v>1996</v>
      </c>
    </row>
    <row r="662" spans="1:6">
      <c r="A662" s="530"/>
      <c r="B662" s="1268"/>
      <c r="C662" s="1270"/>
      <c r="D662" s="548" t="s">
        <v>367</v>
      </c>
      <c r="E662" s="538" t="s">
        <v>592</v>
      </c>
      <c r="F662" s="535">
        <v>352</v>
      </c>
    </row>
    <row r="663" spans="1:6">
      <c r="A663" s="530"/>
      <c r="B663" s="1268"/>
      <c r="C663" s="1270"/>
      <c r="D663" s="548" t="s">
        <v>395</v>
      </c>
      <c r="E663" s="538" t="s">
        <v>594</v>
      </c>
      <c r="F663" s="535">
        <v>50000</v>
      </c>
    </row>
    <row r="664" spans="1:6">
      <c r="A664" s="530"/>
      <c r="B664" s="1268"/>
      <c r="C664" s="1270"/>
      <c r="D664" s="548" t="s">
        <v>336</v>
      </c>
      <c r="E664" s="538" t="s">
        <v>594</v>
      </c>
      <c r="F664" s="535">
        <v>85000</v>
      </c>
    </row>
    <row r="665" spans="1:6">
      <c r="A665" s="530"/>
      <c r="B665" s="1268"/>
      <c r="C665" s="1270"/>
      <c r="D665" s="548" t="s">
        <v>337</v>
      </c>
      <c r="E665" s="538" t="s">
        <v>594</v>
      </c>
      <c r="F665" s="535">
        <v>15000</v>
      </c>
    </row>
    <row r="666" spans="1:6">
      <c r="A666" s="530"/>
      <c r="B666" s="1268"/>
      <c r="C666" s="1270"/>
      <c r="D666" s="548" t="s">
        <v>396</v>
      </c>
      <c r="E666" s="538" t="s">
        <v>599</v>
      </c>
      <c r="F666" s="535">
        <v>160000</v>
      </c>
    </row>
    <row r="667" spans="1:6">
      <c r="A667" s="530"/>
      <c r="B667" s="1268"/>
      <c r="C667" s="1270"/>
      <c r="D667" s="548" t="s">
        <v>397</v>
      </c>
      <c r="E667" s="538" t="s">
        <v>608</v>
      </c>
      <c r="F667" s="535">
        <v>1580000</v>
      </c>
    </row>
    <row r="668" spans="1:6">
      <c r="A668" s="530"/>
      <c r="B668" s="1268"/>
      <c r="C668" s="1270"/>
      <c r="D668" s="548" t="s">
        <v>341</v>
      </c>
      <c r="E668" s="538" t="s">
        <v>608</v>
      </c>
      <c r="F668" s="535">
        <v>225591</v>
      </c>
    </row>
    <row r="669" spans="1:6">
      <c r="A669" s="530"/>
      <c r="B669" s="1268"/>
      <c r="C669" s="1270"/>
      <c r="D669" s="548" t="s">
        <v>342</v>
      </c>
      <c r="E669" s="538" t="s">
        <v>608</v>
      </c>
      <c r="F669" s="535">
        <v>39810</v>
      </c>
    </row>
    <row r="670" spans="1:6">
      <c r="A670" s="530"/>
      <c r="B670" s="1268"/>
      <c r="C670" s="1270"/>
      <c r="D670" s="548" t="s">
        <v>398</v>
      </c>
      <c r="E670" s="538" t="s">
        <v>675</v>
      </c>
      <c r="F670" s="535">
        <v>40000</v>
      </c>
    </row>
    <row r="671" spans="1:6">
      <c r="A671" s="530"/>
      <c r="B671" s="1268"/>
      <c r="C671" s="1270"/>
      <c r="D671" s="548" t="s">
        <v>343</v>
      </c>
      <c r="E671" s="538" t="s">
        <v>675</v>
      </c>
      <c r="F671" s="535">
        <v>128</v>
      </c>
    </row>
    <row r="672" spans="1:6">
      <c r="A672" s="530"/>
      <c r="B672" s="1268"/>
      <c r="C672" s="1270"/>
      <c r="D672" s="548" t="s">
        <v>344</v>
      </c>
      <c r="E672" s="538" t="s">
        <v>675</v>
      </c>
      <c r="F672" s="535">
        <v>22</v>
      </c>
    </row>
    <row r="673" spans="1:6">
      <c r="A673" s="530"/>
      <c r="B673" s="1268"/>
      <c r="C673" s="1270"/>
      <c r="D673" s="548" t="s">
        <v>399</v>
      </c>
      <c r="E673" s="555" t="s">
        <v>649</v>
      </c>
      <c r="F673" s="535">
        <v>50000</v>
      </c>
    </row>
    <row r="674" spans="1:6">
      <c r="A674" s="530"/>
      <c r="B674" s="1268"/>
      <c r="C674" s="1270"/>
      <c r="D674" s="548" t="s">
        <v>400</v>
      </c>
      <c r="E674" s="538" t="s">
        <v>614</v>
      </c>
      <c r="F674" s="535">
        <v>40000</v>
      </c>
    </row>
    <row r="675" spans="1:6">
      <c r="A675" s="530"/>
      <c r="B675" s="1268"/>
      <c r="C675" s="1270"/>
      <c r="D675" s="548" t="s">
        <v>345</v>
      </c>
      <c r="E675" s="538" t="s">
        <v>614</v>
      </c>
      <c r="F675" s="535">
        <v>680</v>
      </c>
    </row>
    <row r="676" spans="1:6">
      <c r="A676" s="530"/>
      <c r="B676" s="1268"/>
      <c r="C676" s="1270"/>
      <c r="D676" s="548" t="s">
        <v>346</v>
      </c>
      <c r="E676" s="538" t="s">
        <v>614</v>
      </c>
      <c r="F676" s="535">
        <v>120</v>
      </c>
    </row>
    <row r="677" spans="1:6">
      <c r="A677" s="530"/>
      <c r="B677" s="1268"/>
      <c r="C677" s="1270"/>
      <c r="D677" s="548" t="s">
        <v>418</v>
      </c>
      <c r="E677" s="609" t="s">
        <v>699</v>
      </c>
      <c r="F677" s="535">
        <v>200000</v>
      </c>
    </row>
    <row r="678" spans="1:6">
      <c r="A678" s="530"/>
      <c r="B678" s="1268"/>
      <c r="C678" s="1270"/>
      <c r="D678" s="548" t="s">
        <v>347</v>
      </c>
      <c r="E678" s="609" t="s">
        <v>699</v>
      </c>
      <c r="F678" s="535">
        <v>1700</v>
      </c>
    </row>
    <row r="679" spans="1:6">
      <c r="A679" s="530"/>
      <c r="B679" s="1268"/>
      <c r="C679" s="1270"/>
      <c r="D679" s="548" t="s">
        <v>348</v>
      </c>
      <c r="E679" s="609" t="s">
        <v>699</v>
      </c>
      <c r="F679" s="535">
        <v>300</v>
      </c>
    </row>
    <row r="680" spans="1:6">
      <c r="A680" s="530"/>
      <c r="B680" s="1268"/>
      <c r="C680" s="1270"/>
      <c r="D680" s="548" t="s">
        <v>403</v>
      </c>
      <c r="E680" s="609" t="s">
        <v>775</v>
      </c>
      <c r="F680" s="535">
        <v>80000</v>
      </c>
    </row>
    <row r="681" spans="1:6">
      <c r="A681" s="530"/>
      <c r="B681" s="1268"/>
      <c r="C681" s="1270"/>
      <c r="D681" s="1365"/>
      <c r="E681" s="1366"/>
      <c r="F681" s="1367"/>
    </row>
    <row r="682" spans="1:6" ht="17.100000000000001" customHeight="1">
      <c r="A682" s="530"/>
      <c r="B682" s="1268"/>
      <c r="C682" s="1270"/>
      <c r="D682" s="1368" t="s">
        <v>636</v>
      </c>
      <c r="E682" s="1319"/>
      <c r="F682" s="610">
        <f>F683</f>
        <v>700000</v>
      </c>
    </row>
    <row r="683" spans="1:6" ht="17.100000000000001" customHeight="1">
      <c r="A683" s="530"/>
      <c r="B683" s="1268"/>
      <c r="C683" s="1270"/>
      <c r="D683" s="1369" t="s">
        <v>637</v>
      </c>
      <c r="E683" s="1369"/>
      <c r="F683" s="535">
        <f>SUM(F684:F685)</f>
        <v>700000</v>
      </c>
    </row>
    <row r="684" spans="1:6" ht="17.100000000000001" customHeight="1">
      <c r="A684" s="530"/>
      <c r="B684" s="1268"/>
      <c r="C684" s="1270"/>
      <c r="D684" s="611" t="s">
        <v>407</v>
      </c>
      <c r="E684" s="538" t="s">
        <v>655</v>
      </c>
      <c r="F684" s="535">
        <v>200000</v>
      </c>
    </row>
    <row r="685" spans="1:6" ht="17.100000000000001" customHeight="1">
      <c r="A685" s="530"/>
      <c r="B685" s="540"/>
      <c r="C685" s="581"/>
      <c r="D685" s="611" t="s">
        <v>408</v>
      </c>
      <c r="E685" s="538" t="s">
        <v>655</v>
      </c>
      <c r="F685" s="535">
        <v>500000</v>
      </c>
    </row>
    <row r="686" spans="1:6" ht="17.100000000000001" customHeight="1">
      <c r="A686" s="530"/>
      <c r="B686" s="540"/>
      <c r="C686" s="581"/>
      <c r="D686" s="611"/>
      <c r="E686" s="538"/>
      <c r="F686" s="535"/>
    </row>
    <row r="687" spans="1:6" ht="17.100000000000001" customHeight="1">
      <c r="A687" s="530"/>
      <c r="B687" s="540"/>
      <c r="C687" s="581"/>
      <c r="D687" s="1370" t="s">
        <v>641</v>
      </c>
      <c r="E687" s="1297"/>
      <c r="F687" s="539">
        <f>SUM(F688)</f>
        <v>500000</v>
      </c>
    </row>
    <row r="688" spans="1:6" ht="17.100000000000001" customHeight="1">
      <c r="A688" s="530"/>
      <c r="B688" s="540"/>
      <c r="C688" s="581"/>
      <c r="D688" s="612" t="s">
        <v>408</v>
      </c>
      <c r="E688" s="552" t="s">
        <v>638</v>
      </c>
      <c r="F688" s="553">
        <v>500000</v>
      </c>
    </row>
    <row r="689" spans="1:6" ht="15" customHeight="1">
      <c r="A689" s="530"/>
      <c r="B689" s="1295" t="s">
        <v>248</v>
      </c>
      <c r="C689" s="1349"/>
      <c r="D689" s="583"/>
      <c r="E689" s="543" t="s">
        <v>249</v>
      </c>
      <c r="F689" s="613">
        <f>F690</f>
        <v>37000</v>
      </c>
    </row>
    <row r="690" spans="1:6">
      <c r="A690" s="530"/>
      <c r="B690" s="1283"/>
      <c r="C690" s="1312"/>
      <c r="D690" s="1371" t="s">
        <v>583</v>
      </c>
      <c r="E690" s="1372"/>
      <c r="F690" s="614">
        <f>SUM(F691)</f>
        <v>37000</v>
      </c>
    </row>
    <row r="691" spans="1:6">
      <c r="A691" s="530"/>
      <c r="B691" s="1283"/>
      <c r="C691" s="1312"/>
      <c r="D691" s="1287" t="s">
        <v>584</v>
      </c>
      <c r="E691" s="1291"/>
      <c r="F691" s="535">
        <f>SUM(F692,F698)</f>
        <v>37000</v>
      </c>
    </row>
    <row r="692" spans="1:6">
      <c r="A692" s="530"/>
      <c r="B692" s="1283"/>
      <c r="C692" s="1312"/>
      <c r="D692" s="1289" t="s">
        <v>585</v>
      </c>
      <c r="E692" s="1292"/>
      <c r="F692" s="539">
        <f>SUM(F693:F696)</f>
        <v>17100</v>
      </c>
    </row>
    <row r="693" spans="1:6">
      <c r="A693" s="530"/>
      <c r="B693" s="1283"/>
      <c r="C693" s="1312"/>
      <c r="D693" s="550" t="s">
        <v>527</v>
      </c>
      <c r="E693" s="538" t="s">
        <v>586</v>
      </c>
      <c r="F693" s="539">
        <v>13000</v>
      </c>
    </row>
    <row r="694" spans="1:6">
      <c r="A694" s="530"/>
      <c r="B694" s="1283"/>
      <c r="C694" s="1312"/>
      <c r="D694" s="537" t="s">
        <v>589</v>
      </c>
      <c r="E694" s="538" t="s">
        <v>590</v>
      </c>
      <c r="F694" s="539">
        <v>2200</v>
      </c>
    </row>
    <row r="695" spans="1:6">
      <c r="A695" s="530"/>
      <c r="B695" s="1283"/>
      <c r="C695" s="1312"/>
      <c r="D695" s="537" t="s">
        <v>591</v>
      </c>
      <c r="E695" s="538" t="s">
        <v>592</v>
      </c>
      <c r="F695" s="539">
        <v>400</v>
      </c>
    </row>
    <row r="696" spans="1:6">
      <c r="A696" s="530"/>
      <c r="B696" s="1283"/>
      <c r="C696" s="1312"/>
      <c r="D696" s="537" t="s">
        <v>593</v>
      </c>
      <c r="E696" s="538" t="s">
        <v>594</v>
      </c>
      <c r="F696" s="539">
        <v>1500</v>
      </c>
    </row>
    <row r="697" spans="1:6">
      <c r="A697" s="530"/>
      <c r="B697" s="1283"/>
      <c r="C697" s="1312"/>
      <c r="D697" s="615"/>
      <c r="E697" s="616"/>
      <c r="F697" s="535"/>
    </row>
    <row r="698" spans="1:6" ht="12.75" customHeight="1">
      <c r="A698" s="530"/>
      <c r="B698" s="1283"/>
      <c r="C698" s="1312"/>
      <c r="D698" s="1266" t="s">
        <v>595</v>
      </c>
      <c r="E698" s="1267"/>
      <c r="F698" s="535">
        <f>SUM(F699:F702)</f>
        <v>19900</v>
      </c>
    </row>
    <row r="699" spans="1:6">
      <c r="A699" s="530"/>
      <c r="B699" s="1283"/>
      <c r="C699" s="1312"/>
      <c r="D699" s="537" t="s">
        <v>598</v>
      </c>
      <c r="E699" s="538" t="s">
        <v>599</v>
      </c>
      <c r="F699" s="535">
        <v>12000</v>
      </c>
    </row>
    <row r="700" spans="1:6">
      <c r="A700" s="530"/>
      <c r="B700" s="1283"/>
      <c r="C700" s="1312"/>
      <c r="D700" s="537" t="s">
        <v>406</v>
      </c>
      <c r="E700" s="538" t="s">
        <v>608</v>
      </c>
      <c r="F700" s="535">
        <v>3900</v>
      </c>
    </row>
    <row r="701" spans="1:6">
      <c r="A701" s="530"/>
      <c r="B701" s="1283"/>
      <c r="C701" s="1312"/>
      <c r="D701" s="537" t="s">
        <v>613</v>
      </c>
      <c r="E701" s="538" t="s">
        <v>614</v>
      </c>
      <c r="F701" s="535">
        <v>3000</v>
      </c>
    </row>
    <row r="702" spans="1:6" ht="13.5" thickBot="1">
      <c r="A702" s="530"/>
      <c r="B702" s="1283"/>
      <c r="C702" s="1312"/>
      <c r="D702" s="578" t="s">
        <v>627</v>
      </c>
      <c r="E702" s="617" t="s">
        <v>775</v>
      </c>
      <c r="F702" s="618">
        <v>1000</v>
      </c>
    </row>
    <row r="703" spans="1:6" ht="17.100000000000001" customHeight="1">
      <c r="A703" s="1377"/>
      <c r="B703" s="1379" t="s">
        <v>456</v>
      </c>
      <c r="C703" s="1380"/>
      <c r="D703" s="619"/>
      <c r="E703" s="620" t="s">
        <v>238</v>
      </c>
      <c r="F703" s="605">
        <f>SUM(F704)</f>
        <v>13565939</v>
      </c>
    </row>
    <row r="704" spans="1:6" ht="17.100000000000001" customHeight="1">
      <c r="A704" s="1378"/>
      <c r="B704" s="1381"/>
      <c r="C704" s="1382"/>
      <c r="D704" s="1385" t="s">
        <v>583</v>
      </c>
      <c r="E704" s="1386"/>
      <c r="F704" s="534">
        <f>F705+F720+F727+F724</f>
        <v>13565939</v>
      </c>
    </row>
    <row r="705" spans="1:11" ht="17.100000000000001" customHeight="1">
      <c r="A705" s="530"/>
      <c r="B705" s="1313"/>
      <c r="C705" s="1314"/>
      <c r="D705" s="1287" t="s">
        <v>584</v>
      </c>
      <c r="E705" s="1291"/>
      <c r="F705" s="539">
        <f>F706+F710</f>
        <v>9028879</v>
      </c>
    </row>
    <row r="706" spans="1:11" ht="17.100000000000001" customHeight="1">
      <c r="A706" s="530"/>
      <c r="B706" s="1313"/>
      <c r="C706" s="1314"/>
      <c r="D706" s="1289" t="s">
        <v>585</v>
      </c>
      <c r="E706" s="1292"/>
      <c r="F706" s="539">
        <f>SUM(F707:F708)</f>
        <v>167500</v>
      </c>
    </row>
    <row r="707" spans="1:11" ht="17.100000000000001" customHeight="1">
      <c r="A707" s="530"/>
      <c r="B707" s="1313"/>
      <c r="C707" s="1314"/>
      <c r="D707" s="537" t="s">
        <v>589</v>
      </c>
      <c r="E707" s="538" t="s">
        <v>590</v>
      </c>
      <c r="F707" s="539">
        <v>500</v>
      </c>
    </row>
    <row r="708" spans="1:11" ht="17.100000000000001" customHeight="1">
      <c r="A708" s="530"/>
      <c r="B708" s="1313"/>
      <c r="C708" s="1314"/>
      <c r="D708" s="537" t="s">
        <v>593</v>
      </c>
      <c r="E708" s="538" t="s">
        <v>594</v>
      </c>
      <c r="F708" s="539">
        <v>167000</v>
      </c>
    </row>
    <row r="709" spans="1:11" ht="17.100000000000001" customHeight="1">
      <c r="A709" s="530"/>
      <c r="B709" s="1313"/>
      <c r="C709" s="1314"/>
      <c r="D709" s="1268"/>
      <c r="E709" s="1270"/>
      <c r="F709" s="1271"/>
    </row>
    <row r="710" spans="1:11" ht="17.100000000000001" customHeight="1">
      <c r="A710" s="530"/>
      <c r="B710" s="1313"/>
      <c r="C710" s="1314"/>
      <c r="D710" s="1266" t="s">
        <v>595</v>
      </c>
      <c r="E710" s="1267"/>
      <c r="F710" s="539">
        <f>SUM(F711:F722)</f>
        <v>8861379</v>
      </c>
    </row>
    <row r="711" spans="1:11" ht="17.100000000000001" customHeight="1">
      <c r="A711" s="530"/>
      <c r="B711" s="1313"/>
      <c r="C711" s="1314"/>
      <c r="D711" s="537" t="s">
        <v>598</v>
      </c>
      <c r="E711" s="538" t="s">
        <v>599</v>
      </c>
      <c r="F711" s="539">
        <v>27000</v>
      </c>
    </row>
    <row r="712" spans="1:11" ht="17.100000000000001" customHeight="1">
      <c r="A712" s="530"/>
      <c r="B712" s="1313"/>
      <c r="C712" s="1314"/>
      <c r="D712" s="537" t="s">
        <v>406</v>
      </c>
      <c r="E712" s="538" t="s">
        <v>608</v>
      </c>
      <c r="F712" s="539">
        <f>22000+1000+18000+8225779</f>
        <v>8266779</v>
      </c>
      <c r="H712" s="514" t="s">
        <v>776</v>
      </c>
      <c r="I712" s="514" t="s">
        <v>777</v>
      </c>
      <c r="J712" s="514" t="s">
        <v>778</v>
      </c>
      <c r="K712" s="514" t="s">
        <v>779</v>
      </c>
    </row>
    <row r="713" spans="1:11" ht="17.100000000000001" customHeight="1">
      <c r="A713" s="530"/>
      <c r="B713" s="1313"/>
      <c r="C713" s="1314"/>
      <c r="D713" s="537" t="s">
        <v>685</v>
      </c>
      <c r="E713" s="538" t="s">
        <v>675</v>
      </c>
      <c r="F713" s="539">
        <f>3000+7000+26000</f>
        <v>36000</v>
      </c>
      <c r="H713" s="514" t="s">
        <v>780</v>
      </c>
      <c r="I713" s="514" t="s">
        <v>781</v>
      </c>
    </row>
    <row r="714" spans="1:11" ht="17.100000000000001" customHeight="1">
      <c r="A714" s="530"/>
      <c r="B714" s="1313"/>
      <c r="C714" s="1314"/>
      <c r="D714" s="537" t="s">
        <v>664</v>
      </c>
      <c r="E714" s="538" t="s">
        <v>649</v>
      </c>
      <c r="F714" s="539">
        <f>15000+205000</f>
        <v>220000</v>
      </c>
      <c r="H714" s="514" t="s">
        <v>782</v>
      </c>
      <c r="I714" s="514" t="s">
        <v>783</v>
      </c>
    </row>
    <row r="715" spans="1:11" ht="17.100000000000001" customHeight="1">
      <c r="A715" s="530"/>
      <c r="B715" s="1313"/>
      <c r="C715" s="1314"/>
      <c r="D715" s="537" t="s">
        <v>613</v>
      </c>
      <c r="E715" s="538" t="s">
        <v>614</v>
      </c>
      <c r="F715" s="539">
        <f>9000+30000</f>
        <v>39000</v>
      </c>
    </row>
    <row r="716" spans="1:11" ht="17.100000000000001" customHeight="1">
      <c r="A716" s="530"/>
      <c r="B716" s="1313"/>
      <c r="C716" s="1314"/>
      <c r="D716" s="537" t="s">
        <v>698</v>
      </c>
      <c r="E716" s="538" t="s">
        <v>699</v>
      </c>
      <c r="F716" s="539">
        <v>11000</v>
      </c>
    </row>
    <row r="717" spans="1:11" ht="17.100000000000001" customHeight="1">
      <c r="A717" s="530"/>
      <c r="B717" s="1313"/>
      <c r="C717" s="1314"/>
      <c r="D717" s="537" t="s">
        <v>615</v>
      </c>
      <c r="E717" s="538" t="s">
        <v>616</v>
      </c>
      <c r="F717" s="539">
        <f>110000+100000</f>
        <v>210000</v>
      </c>
      <c r="H717" s="514" t="s">
        <v>784</v>
      </c>
      <c r="I717" s="514" t="s">
        <v>785</v>
      </c>
    </row>
    <row r="718" spans="1:11" ht="15" customHeight="1">
      <c r="A718" s="530"/>
      <c r="B718" s="1313"/>
      <c r="C718" s="1314"/>
      <c r="D718" s="537" t="s">
        <v>634</v>
      </c>
      <c r="E718" s="538" t="s">
        <v>635</v>
      </c>
      <c r="F718" s="539">
        <f>6600+25000</f>
        <v>31600</v>
      </c>
      <c r="H718" s="514" t="s">
        <v>786</v>
      </c>
      <c r="I718" s="514" t="s">
        <v>783</v>
      </c>
    </row>
    <row r="719" spans="1:11" ht="17.100000000000001" hidden="1" customHeight="1">
      <c r="A719" s="530"/>
      <c r="B719" s="1313"/>
      <c r="C719" s="1314"/>
      <c r="D719" s="1268"/>
      <c r="E719" s="1270"/>
      <c r="F719" s="1271"/>
    </row>
    <row r="720" spans="1:11" ht="17.100000000000001" hidden="1" customHeight="1">
      <c r="A720" s="530"/>
      <c r="B720" s="1313"/>
      <c r="C720" s="1314"/>
      <c r="D720" s="1293" t="s">
        <v>643</v>
      </c>
      <c r="E720" s="1294"/>
      <c r="F720" s="539">
        <f>F721</f>
        <v>0</v>
      </c>
    </row>
    <row r="721" spans="1:6" ht="0.75" hidden="1" customHeight="1">
      <c r="A721" s="530"/>
      <c r="B721" s="1313"/>
      <c r="C721" s="1314"/>
      <c r="D721" s="551" t="s">
        <v>644</v>
      </c>
      <c r="E721" s="552" t="s">
        <v>645</v>
      </c>
      <c r="F721" s="553">
        <v>0</v>
      </c>
    </row>
    <row r="722" spans="1:6">
      <c r="A722" s="530"/>
      <c r="B722" s="1313"/>
      <c r="C722" s="1314"/>
      <c r="D722" s="537" t="s">
        <v>627</v>
      </c>
      <c r="E722" s="617" t="s">
        <v>775</v>
      </c>
      <c r="F722" s="594">
        <v>20000</v>
      </c>
    </row>
    <row r="723" spans="1:6" ht="17.100000000000001" customHeight="1">
      <c r="A723" s="530"/>
      <c r="B723" s="1313"/>
      <c r="C723" s="1314"/>
      <c r="D723" s="1324"/>
      <c r="E723" s="1325"/>
      <c r="F723" s="1326"/>
    </row>
    <row r="724" spans="1:6" ht="17.100000000000001" customHeight="1">
      <c r="A724" s="530"/>
      <c r="B724" s="1313"/>
      <c r="C724" s="1314"/>
      <c r="D724" s="1293" t="s">
        <v>787</v>
      </c>
      <c r="E724" s="1294"/>
      <c r="F724" s="594">
        <f>F725</f>
        <v>4000</v>
      </c>
    </row>
    <row r="725" spans="1:6" ht="17.100000000000001" customHeight="1">
      <c r="A725" s="530"/>
      <c r="B725" s="1313"/>
      <c r="C725" s="1314"/>
      <c r="D725" s="537" t="s">
        <v>734</v>
      </c>
      <c r="E725" s="538" t="s">
        <v>741</v>
      </c>
      <c r="F725" s="594">
        <v>4000</v>
      </c>
    </row>
    <row r="726" spans="1:6" ht="17.100000000000001" customHeight="1">
      <c r="A726" s="530"/>
      <c r="B726" s="1313"/>
      <c r="C726" s="1314"/>
      <c r="D726" s="1374"/>
      <c r="E726" s="1374"/>
      <c r="F726" s="1375"/>
    </row>
    <row r="727" spans="1:6" ht="17.100000000000001" customHeight="1">
      <c r="A727" s="530"/>
      <c r="B727" s="1313"/>
      <c r="C727" s="1314"/>
      <c r="D727" s="1376" t="s">
        <v>647</v>
      </c>
      <c r="E727" s="1328"/>
      <c r="F727" s="566">
        <f>SUM(F728:F759)</f>
        <v>4533060</v>
      </c>
    </row>
    <row r="728" spans="1:6" ht="57" customHeight="1">
      <c r="A728" s="530"/>
      <c r="B728" s="1313"/>
      <c r="C728" s="1314"/>
      <c r="D728" s="603" t="s">
        <v>465</v>
      </c>
      <c r="E728" s="576" t="s">
        <v>727</v>
      </c>
      <c r="F728" s="566">
        <v>1713736</v>
      </c>
    </row>
    <row r="729" spans="1:6" ht="55.5" customHeight="1">
      <c r="A729" s="530"/>
      <c r="B729" s="1313"/>
      <c r="C729" s="1314"/>
      <c r="D729" s="603" t="s">
        <v>466</v>
      </c>
      <c r="E729" s="576" t="s">
        <v>727</v>
      </c>
      <c r="F729" s="566">
        <v>302424</v>
      </c>
    </row>
    <row r="730" spans="1:6" ht="17.100000000000001" customHeight="1">
      <c r="A730" s="530"/>
      <c r="B730" s="1313"/>
      <c r="C730" s="1314"/>
      <c r="D730" s="550" t="s">
        <v>362</v>
      </c>
      <c r="E730" s="538" t="s">
        <v>586</v>
      </c>
      <c r="F730" s="539">
        <f>32275+1100643</f>
        <v>1132918</v>
      </c>
    </row>
    <row r="731" spans="1:6" ht="17.100000000000001" customHeight="1">
      <c r="A731" s="530"/>
      <c r="B731" s="1313"/>
      <c r="C731" s="1314"/>
      <c r="D731" s="537" t="s">
        <v>363</v>
      </c>
      <c r="E731" s="538" t="s">
        <v>586</v>
      </c>
      <c r="F731" s="539">
        <f>5696+219151</f>
        <v>224847</v>
      </c>
    </row>
    <row r="732" spans="1:6" ht="17.100000000000001" customHeight="1">
      <c r="A732" s="530"/>
      <c r="B732" s="1313"/>
      <c r="C732" s="1314"/>
      <c r="D732" s="537" t="s">
        <v>364</v>
      </c>
      <c r="E732" s="538" t="s">
        <v>588</v>
      </c>
      <c r="F732" s="539">
        <v>53877</v>
      </c>
    </row>
    <row r="733" spans="1:6" ht="17.100000000000001" customHeight="1">
      <c r="A733" s="530"/>
      <c r="B733" s="1313"/>
      <c r="C733" s="1314"/>
      <c r="D733" s="537" t="s">
        <v>365</v>
      </c>
      <c r="E733" s="538" t="s">
        <v>588</v>
      </c>
      <c r="F733" s="539">
        <v>9508</v>
      </c>
    </row>
    <row r="734" spans="1:6" ht="17.100000000000001" customHeight="1">
      <c r="A734" s="530"/>
      <c r="B734" s="1313"/>
      <c r="C734" s="1314"/>
      <c r="D734" s="537" t="s">
        <v>334</v>
      </c>
      <c r="E734" s="538" t="s">
        <v>590</v>
      </c>
      <c r="F734" s="539">
        <f>5609+206682</f>
        <v>212291</v>
      </c>
    </row>
    <row r="735" spans="1:6" ht="17.100000000000001" hidden="1" customHeight="1">
      <c r="A735" s="530"/>
      <c r="B735" s="1313"/>
      <c r="C735" s="1314"/>
      <c r="D735" s="537" t="s">
        <v>334</v>
      </c>
      <c r="E735" s="538" t="s">
        <v>590</v>
      </c>
      <c r="F735" s="539"/>
    </row>
    <row r="736" spans="1:6" ht="17.100000000000001" customHeight="1">
      <c r="A736" s="530"/>
      <c r="B736" s="1313"/>
      <c r="C736" s="1314"/>
      <c r="D736" s="537" t="s">
        <v>335</v>
      </c>
      <c r="E736" s="538" t="s">
        <v>590</v>
      </c>
      <c r="F736" s="539">
        <f>990+40757</f>
        <v>41747</v>
      </c>
    </row>
    <row r="737" spans="1:6" ht="17.100000000000001" customHeight="1">
      <c r="A737" s="530"/>
      <c r="B737" s="1313"/>
      <c r="C737" s="1314"/>
      <c r="D737" s="537" t="s">
        <v>366</v>
      </c>
      <c r="E737" s="538" t="s">
        <v>592</v>
      </c>
      <c r="F737" s="539">
        <f>791+56877</f>
        <v>57668</v>
      </c>
    </row>
    <row r="738" spans="1:6" ht="17.100000000000001" hidden="1" customHeight="1">
      <c r="A738" s="530"/>
      <c r="B738" s="1313"/>
      <c r="C738" s="1314"/>
      <c r="D738" s="537" t="s">
        <v>366</v>
      </c>
      <c r="E738" s="538" t="s">
        <v>592</v>
      </c>
      <c r="F738" s="539"/>
    </row>
    <row r="739" spans="1:6" ht="17.100000000000001" customHeight="1">
      <c r="A739" s="530"/>
      <c r="B739" s="1313"/>
      <c r="C739" s="1314"/>
      <c r="D739" s="537" t="s">
        <v>367</v>
      </c>
      <c r="E739" s="538" t="s">
        <v>592</v>
      </c>
      <c r="F739" s="539">
        <f>139+10647</f>
        <v>10786</v>
      </c>
    </row>
    <row r="740" spans="1:6" ht="17.100000000000001" customHeight="1">
      <c r="A740" s="530"/>
      <c r="B740" s="1313"/>
      <c r="C740" s="1314"/>
      <c r="D740" s="537" t="s">
        <v>339</v>
      </c>
      <c r="E740" s="538" t="s">
        <v>599</v>
      </c>
      <c r="F740" s="539">
        <v>133552</v>
      </c>
    </row>
    <row r="741" spans="1:6" ht="17.100000000000001" customHeight="1">
      <c r="A741" s="530"/>
      <c r="B741" s="1313"/>
      <c r="C741" s="1314"/>
      <c r="D741" s="537" t="s">
        <v>340</v>
      </c>
      <c r="E741" s="538" t="s">
        <v>599</v>
      </c>
      <c r="F741" s="539">
        <v>23748</v>
      </c>
    </row>
    <row r="742" spans="1:6" ht="17.100000000000001" customHeight="1">
      <c r="A742" s="530"/>
      <c r="B742" s="1313"/>
      <c r="C742" s="1314"/>
      <c r="D742" s="537" t="s">
        <v>372</v>
      </c>
      <c r="E742" s="538" t="s">
        <v>603</v>
      </c>
      <c r="F742" s="539">
        <v>15300</v>
      </c>
    </row>
    <row r="743" spans="1:6" ht="17.100000000000001" customHeight="1">
      <c r="A743" s="530"/>
      <c r="B743" s="1313"/>
      <c r="C743" s="1314"/>
      <c r="D743" s="537" t="s">
        <v>373</v>
      </c>
      <c r="E743" s="538" t="s">
        <v>603</v>
      </c>
      <c r="F743" s="539">
        <v>2700</v>
      </c>
    </row>
    <row r="744" spans="1:6" ht="17.100000000000001" customHeight="1">
      <c r="A744" s="530"/>
      <c r="B744" s="1313"/>
      <c r="C744" s="1314"/>
      <c r="D744" s="537" t="s">
        <v>341</v>
      </c>
      <c r="E744" s="538" t="s">
        <v>608</v>
      </c>
      <c r="F744" s="539">
        <f>31025+337375</f>
        <v>368400</v>
      </c>
    </row>
    <row r="745" spans="1:6" ht="17.100000000000001" customHeight="1">
      <c r="A745" s="530"/>
      <c r="B745" s="1313"/>
      <c r="C745" s="1314"/>
      <c r="D745" s="537" t="s">
        <v>342</v>
      </c>
      <c r="E745" s="538" t="s">
        <v>608</v>
      </c>
      <c r="F745" s="539">
        <f>5475+62083</f>
        <v>67558</v>
      </c>
    </row>
    <row r="746" spans="1:6" ht="17.100000000000001" customHeight="1">
      <c r="A746" s="530"/>
      <c r="B746" s="1313"/>
      <c r="C746" s="1314"/>
      <c r="D746" s="537" t="s">
        <v>459</v>
      </c>
      <c r="E746" s="538" t="s">
        <v>610</v>
      </c>
      <c r="F746" s="539">
        <v>6800</v>
      </c>
    </row>
    <row r="747" spans="1:6" ht="17.100000000000001" customHeight="1">
      <c r="A747" s="530"/>
      <c r="B747" s="1313"/>
      <c r="C747" s="1314"/>
      <c r="D747" s="537" t="s">
        <v>433</v>
      </c>
      <c r="E747" s="538" t="s">
        <v>610</v>
      </c>
      <c r="F747" s="539">
        <v>1200</v>
      </c>
    </row>
    <row r="748" spans="1:6" ht="17.100000000000001" customHeight="1">
      <c r="A748" s="530"/>
      <c r="B748" s="1313"/>
      <c r="C748" s="1314"/>
      <c r="D748" s="537" t="s">
        <v>343</v>
      </c>
      <c r="E748" s="538" t="s">
        <v>675</v>
      </c>
      <c r="F748" s="539">
        <v>2550</v>
      </c>
    </row>
    <row r="749" spans="1:6" ht="17.100000000000001" customHeight="1">
      <c r="A749" s="530"/>
      <c r="B749" s="1313"/>
      <c r="C749" s="1314"/>
      <c r="D749" s="537" t="s">
        <v>344</v>
      </c>
      <c r="E749" s="538" t="s">
        <v>675</v>
      </c>
      <c r="F749" s="539">
        <v>450</v>
      </c>
    </row>
    <row r="750" spans="1:6" ht="17.100000000000001" customHeight="1">
      <c r="A750" s="530"/>
      <c r="B750" s="1313"/>
      <c r="C750" s="1314"/>
      <c r="D750" s="537" t="s">
        <v>460</v>
      </c>
      <c r="E750" s="538" t="s">
        <v>612</v>
      </c>
      <c r="F750" s="539">
        <v>17000</v>
      </c>
    </row>
    <row r="751" spans="1:6" ht="17.100000000000001" customHeight="1">
      <c r="A751" s="530"/>
      <c r="B751" s="1313"/>
      <c r="C751" s="1314"/>
      <c r="D751" s="537" t="s">
        <v>461</v>
      </c>
      <c r="E751" s="538" t="s">
        <v>612</v>
      </c>
      <c r="F751" s="539">
        <v>3000</v>
      </c>
    </row>
    <row r="752" spans="1:6" ht="17.100000000000001" customHeight="1">
      <c r="A752" s="530"/>
      <c r="B752" s="1313"/>
      <c r="C752" s="1314"/>
      <c r="D752" s="537" t="s">
        <v>345</v>
      </c>
      <c r="E752" s="538" t="s">
        <v>614</v>
      </c>
      <c r="F752" s="539">
        <f>3400+12750</f>
        <v>16150</v>
      </c>
    </row>
    <row r="753" spans="1:6" ht="17.100000000000001" customHeight="1">
      <c r="A753" s="530"/>
      <c r="B753" s="1313"/>
      <c r="C753" s="1314"/>
      <c r="D753" s="537" t="s">
        <v>346</v>
      </c>
      <c r="E753" s="538" t="s">
        <v>614</v>
      </c>
      <c r="F753" s="539">
        <f>600+2250</f>
        <v>2850</v>
      </c>
    </row>
    <row r="754" spans="1:6" ht="17.100000000000001" customHeight="1">
      <c r="A754" s="530"/>
      <c r="B754" s="1313"/>
      <c r="C754" s="1314"/>
      <c r="D754" s="537" t="s">
        <v>347</v>
      </c>
      <c r="E754" s="538" t="s">
        <v>699</v>
      </c>
      <c r="F754" s="539">
        <v>2125</v>
      </c>
    </row>
    <row r="755" spans="1:6" ht="17.100000000000001" customHeight="1">
      <c r="A755" s="530"/>
      <c r="B755" s="1313"/>
      <c r="C755" s="1314"/>
      <c r="D755" s="537" t="s">
        <v>348</v>
      </c>
      <c r="E755" s="538" t="s">
        <v>699</v>
      </c>
      <c r="F755" s="539">
        <v>375</v>
      </c>
    </row>
    <row r="756" spans="1:6" ht="17.100000000000001" customHeight="1">
      <c r="A756" s="530"/>
      <c r="B756" s="1313"/>
      <c r="C756" s="1314"/>
      <c r="D756" s="537" t="s">
        <v>376</v>
      </c>
      <c r="E756" s="538" t="s">
        <v>624</v>
      </c>
      <c r="F756" s="539">
        <v>1275</v>
      </c>
    </row>
    <row r="757" spans="1:6" ht="17.100000000000001" customHeight="1">
      <c r="A757" s="530"/>
      <c r="B757" s="1313"/>
      <c r="C757" s="1314"/>
      <c r="D757" s="551" t="s">
        <v>377</v>
      </c>
      <c r="E757" s="538" t="s">
        <v>624</v>
      </c>
      <c r="F757" s="553">
        <v>225</v>
      </c>
    </row>
    <row r="758" spans="1:6" ht="17.100000000000001" customHeight="1">
      <c r="A758" s="530"/>
      <c r="B758" s="1313"/>
      <c r="C758" s="1314"/>
      <c r="D758" s="578" t="s">
        <v>378</v>
      </c>
      <c r="E758" s="617" t="s">
        <v>775</v>
      </c>
      <c r="F758" s="553">
        <v>91800</v>
      </c>
    </row>
    <row r="759" spans="1:6" ht="17.100000000000001" customHeight="1" thickBot="1">
      <c r="A759" s="621"/>
      <c r="B759" s="1383"/>
      <c r="C759" s="1384"/>
      <c r="D759" s="622" t="s">
        <v>379</v>
      </c>
      <c r="E759" s="623" t="s">
        <v>775</v>
      </c>
      <c r="F759" s="624">
        <v>16200</v>
      </c>
    </row>
    <row r="760" spans="1:6" ht="17.100000000000001" customHeight="1" thickBot="1">
      <c r="A760" s="526" t="s">
        <v>250</v>
      </c>
      <c r="B760" s="1277"/>
      <c r="C760" s="1278"/>
      <c r="D760" s="527"/>
      <c r="E760" s="528" t="s">
        <v>788</v>
      </c>
      <c r="F760" s="529">
        <f>F761</f>
        <v>5000</v>
      </c>
    </row>
    <row r="761" spans="1:6" ht="17.100000000000001" customHeight="1">
      <c r="A761" s="530"/>
      <c r="B761" s="1279" t="s">
        <v>252</v>
      </c>
      <c r="C761" s="1280"/>
      <c r="D761" s="531"/>
      <c r="E761" s="532" t="s">
        <v>253</v>
      </c>
      <c r="F761" s="533">
        <f>F762</f>
        <v>5000</v>
      </c>
    </row>
    <row r="762" spans="1:6" ht="17.100000000000001" customHeight="1">
      <c r="A762" s="530"/>
      <c r="B762" s="1281"/>
      <c r="C762" s="1282"/>
      <c r="D762" s="1285" t="s">
        <v>583</v>
      </c>
      <c r="E762" s="1286"/>
      <c r="F762" s="534">
        <f>F763</f>
        <v>5000</v>
      </c>
    </row>
    <row r="763" spans="1:6" ht="17.100000000000001" customHeight="1">
      <c r="A763" s="530"/>
      <c r="B763" s="1283"/>
      <c r="C763" s="1284"/>
      <c r="D763" s="1287" t="s">
        <v>584</v>
      </c>
      <c r="E763" s="1291"/>
      <c r="F763" s="539">
        <f>F764</f>
        <v>5000</v>
      </c>
    </row>
    <row r="764" spans="1:6" ht="17.100000000000001" customHeight="1">
      <c r="A764" s="530"/>
      <c r="B764" s="1283"/>
      <c r="C764" s="1284"/>
      <c r="D764" s="1266" t="s">
        <v>595</v>
      </c>
      <c r="E764" s="1267"/>
      <c r="F764" s="539">
        <f>F765</f>
        <v>5000</v>
      </c>
    </row>
    <row r="765" spans="1:6" ht="17.100000000000001" customHeight="1" thickBot="1">
      <c r="A765" s="530"/>
      <c r="B765" s="1283"/>
      <c r="C765" s="1284"/>
      <c r="D765" s="551" t="s">
        <v>598</v>
      </c>
      <c r="E765" s="552" t="s">
        <v>599</v>
      </c>
      <c r="F765" s="553">
        <v>5000</v>
      </c>
    </row>
    <row r="766" spans="1:6" ht="17.100000000000001" customHeight="1" thickBot="1">
      <c r="A766" s="526" t="s">
        <v>132</v>
      </c>
      <c r="B766" s="1277"/>
      <c r="C766" s="1278"/>
      <c r="D766" s="527"/>
      <c r="E766" s="528" t="s">
        <v>789</v>
      </c>
      <c r="F766" s="529">
        <f>F767+F771+F779+F783</f>
        <v>850000</v>
      </c>
    </row>
    <row r="767" spans="1:6">
      <c r="A767" s="625"/>
      <c r="B767" s="1373" t="s">
        <v>133</v>
      </c>
      <c r="C767" s="1280"/>
      <c r="D767" s="531"/>
      <c r="E767" s="532" t="s">
        <v>790</v>
      </c>
      <c r="F767" s="533">
        <f>SUM(F768)</f>
        <v>200000</v>
      </c>
    </row>
    <row r="768" spans="1:6" ht="17.100000000000001" customHeight="1">
      <c r="A768" s="625"/>
      <c r="B768" s="1393"/>
      <c r="C768" s="1338"/>
      <c r="D768" s="1318" t="s">
        <v>636</v>
      </c>
      <c r="E768" s="1394"/>
      <c r="F768" s="534">
        <f>F769</f>
        <v>200000</v>
      </c>
    </row>
    <row r="769" spans="1:6" ht="17.100000000000001" customHeight="1">
      <c r="A769" s="625"/>
      <c r="B769" s="1393"/>
      <c r="C769" s="1338"/>
      <c r="D769" s="1293" t="s">
        <v>637</v>
      </c>
      <c r="E769" s="1357"/>
      <c r="F769" s="539">
        <f>F770</f>
        <v>200000</v>
      </c>
    </row>
    <row r="770" spans="1:6" ht="25.5" customHeight="1">
      <c r="A770" s="625"/>
      <c r="B770" s="1393"/>
      <c r="C770" s="1338"/>
      <c r="D770" s="537" t="s">
        <v>791</v>
      </c>
      <c r="E770" s="538" t="s">
        <v>792</v>
      </c>
      <c r="F770" s="539">
        <v>200000</v>
      </c>
    </row>
    <row r="771" spans="1:6" ht="17.100000000000001" customHeight="1">
      <c r="A771" s="625"/>
      <c r="B771" s="1395" t="s">
        <v>134</v>
      </c>
      <c r="C771" s="1395"/>
      <c r="D771" s="583"/>
      <c r="E771" s="543" t="s">
        <v>793</v>
      </c>
      <c r="F771" s="544">
        <f>F772+F776</f>
        <v>150000</v>
      </c>
    </row>
    <row r="772" spans="1:6" ht="17.100000000000001" hidden="1" customHeight="1">
      <c r="A772" s="625"/>
      <c r="B772" s="1396"/>
      <c r="C772" s="1397"/>
      <c r="D772" s="1403" t="s">
        <v>583</v>
      </c>
      <c r="E772" s="1286"/>
      <c r="F772" s="534">
        <f>F773</f>
        <v>0</v>
      </c>
    </row>
    <row r="773" spans="1:6" ht="17.100000000000001" hidden="1" customHeight="1">
      <c r="A773" s="625"/>
      <c r="B773" s="1398"/>
      <c r="C773" s="1399"/>
      <c r="D773" s="1404" t="s">
        <v>643</v>
      </c>
      <c r="E773" s="1294"/>
      <c r="F773" s="539">
        <f>F774</f>
        <v>0</v>
      </c>
    </row>
    <row r="774" spans="1:6" ht="17.100000000000001" hidden="1" customHeight="1">
      <c r="A774" s="625"/>
      <c r="B774" s="1398"/>
      <c r="C774" s="1399"/>
      <c r="D774" s="626" t="s">
        <v>794</v>
      </c>
      <c r="E774" s="538" t="s">
        <v>795</v>
      </c>
      <c r="F774" s="539"/>
    </row>
    <row r="775" spans="1:6" ht="17.100000000000001" hidden="1" customHeight="1">
      <c r="A775" s="625"/>
      <c r="B775" s="1393"/>
      <c r="C775" s="1400"/>
      <c r="D775" s="1390"/>
      <c r="E775" s="1315"/>
      <c r="F775" s="1316"/>
    </row>
    <row r="776" spans="1:6" ht="17.100000000000001" customHeight="1">
      <c r="A776" s="625"/>
      <c r="B776" s="1393"/>
      <c r="C776" s="1400"/>
      <c r="D776" s="1368" t="s">
        <v>636</v>
      </c>
      <c r="E776" s="1394"/>
      <c r="F776" s="534">
        <f>F777</f>
        <v>150000</v>
      </c>
    </row>
    <row r="777" spans="1:6" ht="17.100000000000001" customHeight="1">
      <c r="A777" s="625"/>
      <c r="B777" s="1393"/>
      <c r="C777" s="1400"/>
      <c r="D777" s="1293" t="s">
        <v>637</v>
      </c>
      <c r="E777" s="1357"/>
      <c r="F777" s="539">
        <f>F778</f>
        <v>150000</v>
      </c>
    </row>
    <row r="778" spans="1:6" ht="27" customHeight="1">
      <c r="A778" s="625"/>
      <c r="B778" s="1401"/>
      <c r="C778" s="1402"/>
      <c r="D778" s="626" t="s">
        <v>791</v>
      </c>
      <c r="E778" s="538" t="s">
        <v>792</v>
      </c>
      <c r="F778" s="539">
        <v>150000</v>
      </c>
    </row>
    <row r="779" spans="1:6" ht="17.25" customHeight="1">
      <c r="A779" s="625"/>
      <c r="B779" s="1387" t="s">
        <v>135</v>
      </c>
      <c r="C779" s="1388"/>
      <c r="D779" s="542"/>
      <c r="E779" s="543" t="s">
        <v>796</v>
      </c>
      <c r="F779" s="544">
        <f>F780</f>
        <v>200000</v>
      </c>
    </row>
    <row r="780" spans="1:6" ht="17.100000000000001" customHeight="1">
      <c r="A780" s="625"/>
      <c r="B780" s="1389"/>
      <c r="C780" s="1359"/>
      <c r="D780" s="1285" t="s">
        <v>636</v>
      </c>
      <c r="E780" s="1286"/>
      <c r="F780" s="534">
        <f>F781</f>
        <v>200000</v>
      </c>
    </row>
    <row r="781" spans="1:6" ht="17.100000000000001" customHeight="1">
      <c r="A781" s="625"/>
      <c r="B781" s="1390"/>
      <c r="C781" s="1269"/>
      <c r="D781" s="1293" t="s">
        <v>637</v>
      </c>
      <c r="E781" s="1357"/>
      <c r="F781" s="539">
        <f>F782</f>
        <v>200000</v>
      </c>
    </row>
    <row r="782" spans="1:6" ht="25.5">
      <c r="A782" s="625"/>
      <c r="B782" s="1391"/>
      <c r="C782" s="1334"/>
      <c r="D782" s="537" t="s">
        <v>791</v>
      </c>
      <c r="E782" s="538" t="s">
        <v>792</v>
      </c>
      <c r="F782" s="539">
        <v>200000</v>
      </c>
    </row>
    <row r="783" spans="1:6" ht="17.100000000000001" customHeight="1">
      <c r="A783" s="625"/>
      <c r="B783" s="1392" t="s">
        <v>797</v>
      </c>
      <c r="C783" s="1296"/>
      <c r="D783" s="542"/>
      <c r="E783" s="543" t="s">
        <v>798</v>
      </c>
      <c r="F783" s="544">
        <f>F784</f>
        <v>300000</v>
      </c>
    </row>
    <row r="784" spans="1:6" ht="17.100000000000001" customHeight="1">
      <c r="A784" s="625"/>
      <c r="B784" s="1311"/>
      <c r="C784" s="1282"/>
      <c r="D784" s="1285" t="s">
        <v>583</v>
      </c>
      <c r="E784" s="1286"/>
      <c r="F784" s="534">
        <f>F785</f>
        <v>300000</v>
      </c>
    </row>
    <row r="785" spans="1:6" ht="17.100000000000001" customHeight="1">
      <c r="A785" s="625"/>
      <c r="B785" s="1312"/>
      <c r="C785" s="1284"/>
      <c r="D785" s="1293" t="s">
        <v>643</v>
      </c>
      <c r="E785" s="1294"/>
      <c r="F785" s="539">
        <f>F786</f>
        <v>300000</v>
      </c>
    </row>
    <row r="786" spans="1:6" ht="44.25" customHeight="1" thickBot="1">
      <c r="A786" s="625"/>
      <c r="B786" s="1312"/>
      <c r="C786" s="1284"/>
      <c r="D786" s="551" t="s">
        <v>665</v>
      </c>
      <c r="E786" s="552" t="s">
        <v>666</v>
      </c>
      <c r="F786" s="553">
        <v>300000</v>
      </c>
    </row>
    <row r="787" spans="1:6" ht="17.100000000000001" customHeight="1" thickBot="1">
      <c r="A787" s="526" t="s">
        <v>799</v>
      </c>
      <c r="B787" s="1277"/>
      <c r="C787" s="1278"/>
      <c r="D787" s="527"/>
      <c r="E787" s="528" t="s">
        <v>800</v>
      </c>
      <c r="F787" s="529">
        <f>F788+F792</f>
        <v>19602762</v>
      </c>
    </row>
    <row r="788" spans="1:6" ht="30" customHeight="1">
      <c r="A788" s="530"/>
      <c r="B788" s="1279" t="s">
        <v>801</v>
      </c>
      <c r="C788" s="1280"/>
      <c r="D788" s="531"/>
      <c r="E788" s="532" t="s">
        <v>802</v>
      </c>
      <c r="F788" s="533">
        <f>F789</f>
        <v>9536000</v>
      </c>
    </row>
    <row r="789" spans="1:6" ht="17.100000000000001" customHeight="1">
      <c r="A789" s="530"/>
      <c r="B789" s="1281"/>
      <c r="C789" s="1282"/>
      <c r="D789" s="1285" t="s">
        <v>583</v>
      </c>
      <c r="E789" s="1286"/>
      <c r="F789" s="534">
        <f>F790</f>
        <v>9536000</v>
      </c>
    </row>
    <row r="790" spans="1:6" ht="17.100000000000001" customHeight="1">
      <c r="A790" s="530"/>
      <c r="B790" s="1283"/>
      <c r="C790" s="1284"/>
      <c r="D790" s="1287" t="s">
        <v>803</v>
      </c>
      <c r="E790" s="1291"/>
      <c r="F790" s="539">
        <f>F791</f>
        <v>9536000</v>
      </c>
    </row>
    <row r="791" spans="1:6" ht="27.75" customHeight="1">
      <c r="A791" s="530"/>
      <c r="B791" s="1298"/>
      <c r="C791" s="1299"/>
      <c r="D791" s="537" t="s">
        <v>804</v>
      </c>
      <c r="E791" s="538" t="s">
        <v>805</v>
      </c>
      <c r="F791" s="539">
        <v>9536000</v>
      </c>
    </row>
    <row r="792" spans="1:6" ht="26.25" customHeight="1">
      <c r="A792" s="530"/>
      <c r="B792" s="1295" t="s">
        <v>806</v>
      </c>
      <c r="C792" s="1296"/>
      <c r="D792" s="542"/>
      <c r="E792" s="543" t="s">
        <v>807</v>
      </c>
      <c r="F792" s="544">
        <f>F793</f>
        <v>10066762</v>
      </c>
    </row>
    <row r="793" spans="1:6" ht="17.100000000000001" customHeight="1">
      <c r="A793" s="627"/>
      <c r="B793" s="1281"/>
      <c r="C793" s="1282"/>
      <c r="D793" s="1285" t="s">
        <v>583</v>
      </c>
      <c r="E793" s="1286"/>
      <c r="F793" s="534">
        <f>F794</f>
        <v>10066762</v>
      </c>
    </row>
    <row r="794" spans="1:6" ht="17.100000000000001" customHeight="1">
      <c r="A794" s="627"/>
      <c r="B794" s="1283"/>
      <c r="C794" s="1284"/>
      <c r="D794" s="1287" t="s">
        <v>808</v>
      </c>
      <c r="E794" s="1291"/>
      <c r="F794" s="539">
        <f>F795</f>
        <v>10066762</v>
      </c>
    </row>
    <row r="795" spans="1:6" ht="17.100000000000001" customHeight="1" thickBot="1">
      <c r="A795" s="530"/>
      <c r="B795" s="1283"/>
      <c r="C795" s="1284"/>
      <c r="D795" s="551" t="s">
        <v>809</v>
      </c>
      <c r="E795" s="552" t="s">
        <v>1106</v>
      </c>
      <c r="F795" s="553">
        <v>10066762</v>
      </c>
    </row>
    <row r="796" spans="1:6" ht="17.100000000000001" customHeight="1" thickBot="1">
      <c r="A796" s="526" t="s">
        <v>810</v>
      </c>
      <c r="B796" s="1277"/>
      <c r="C796" s="1278"/>
      <c r="D796" s="527"/>
      <c r="E796" s="528" t="s">
        <v>811</v>
      </c>
      <c r="F796" s="529">
        <f>F797</f>
        <v>35698941</v>
      </c>
    </row>
    <row r="797" spans="1:6" ht="17.100000000000001" customHeight="1">
      <c r="A797" s="530"/>
      <c r="B797" s="1279" t="s">
        <v>812</v>
      </c>
      <c r="C797" s="1280"/>
      <c r="D797" s="531"/>
      <c r="E797" s="532" t="s">
        <v>813</v>
      </c>
      <c r="F797" s="533">
        <f>F798+F803</f>
        <v>35698941</v>
      </c>
    </row>
    <row r="798" spans="1:6" ht="17.100000000000001" customHeight="1">
      <c r="A798" s="530"/>
      <c r="B798" s="1281"/>
      <c r="C798" s="1311"/>
      <c r="D798" s="1285" t="s">
        <v>583</v>
      </c>
      <c r="E798" s="1286"/>
      <c r="F798" s="534">
        <f>F799</f>
        <v>19698941</v>
      </c>
    </row>
    <row r="799" spans="1:6" ht="17.100000000000001" customHeight="1">
      <c r="A799" s="530"/>
      <c r="B799" s="1283"/>
      <c r="C799" s="1312"/>
      <c r="D799" s="1287" t="s">
        <v>584</v>
      </c>
      <c r="E799" s="1291"/>
      <c r="F799" s="539">
        <f>F800</f>
        <v>19698941</v>
      </c>
    </row>
    <row r="800" spans="1:6" ht="17.100000000000001" customHeight="1">
      <c r="A800" s="530"/>
      <c r="B800" s="1283"/>
      <c r="C800" s="1312"/>
      <c r="D800" s="1266" t="s">
        <v>595</v>
      </c>
      <c r="E800" s="1267"/>
      <c r="F800" s="539">
        <f>F801</f>
        <v>19698941</v>
      </c>
    </row>
    <row r="801" spans="1:6" ht="17.100000000000001" customHeight="1">
      <c r="A801" s="530"/>
      <c r="B801" s="1283"/>
      <c r="C801" s="1312"/>
      <c r="D801" s="551" t="s">
        <v>814</v>
      </c>
      <c r="E801" s="552" t="s">
        <v>815</v>
      </c>
      <c r="F801" s="553">
        <f>20198941-500000</f>
        <v>19698941</v>
      </c>
    </row>
    <row r="802" spans="1:6" ht="17.100000000000001" customHeight="1">
      <c r="A802" s="530"/>
      <c r="B802" s="1283"/>
      <c r="C802" s="1312"/>
      <c r="D802" s="1408"/>
      <c r="E802" s="1409"/>
      <c r="F802" s="1410"/>
    </row>
    <row r="803" spans="1:6" ht="17.100000000000001" customHeight="1">
      <c r="A803" s="530"/>
      <c r="B803" s="1283"/>
      <c r="C803" s="1312"/>
      <c r="D803" s="1306" t="s">
        <v>636</v>
      </c>
      <c r="E803" s="1307"/>
      <c r="F803" s="547">
        <f>F804</f>
        <v>16000000</v>
      </c>
    </row>
    <row r="804" spans="1:6" ht="17.100000000000001" customHeight="1">
      <c r="A804" s="530"/>
      <c r="B804" s="1283"/>
      <c r="C804" s="1312"/>
      <c r="D804" s="1293" t="s">
        <v>637</v>
      </c>
      <c r="E804" s="1357"/>
      <c r="F804" s="539">
        <f>F805</f>
        <v>16000000</v>
      </c>
    </row>
    <row r="805" spans="1:6" ht="17.100000000000001" customHeight="1" thickBot="1">
      <c r="A805" s="530"/>
      <c r="B805" s="1283"/>
      <c r="C805" s="1312"/>
      <c r="D805" s="628" t="s">
        <v>816</v>
      </c>
      <c r="E805" s="602" t="s">
        <v>817</v>
      </c>
      <c r="F805" s="553">
        <v>16000000</v>
      </c>
    </row>
    <row r="806" spans="1:6" ht="13.5" thickBot="1">
      <c r="A806" s="629" t="s">
        <v>818</v>
      </c>
      <c r="B806" s="1405"/>
      <c r="C806" s="1405"/>
      <c r="D806" s="630"/>
      <c r="E806" s="631" t="s">
        <v>819</v>
      </c>
      <c r="F806" s="529">
        <f>SUM(F807,F831,F848,F865,F929,F976,F1010)</f>
        <v>55555323</v>
      </c>
    </row>
    <row r="807" spans="1:6" ht="17.100000000000001" customHeight="1">
      <c r="A807" s="632"/>
      <c r="B807" s="1406" t="s">
        <v>820</v>
      </c>
      <c r="C807" s="1407"/>
      <c r="D807" s="633"/>
      <c r="E807" s="634" t="s">
        <v>821</v>
      </c>
      <c r="F807" s="533">
        <f>F808</f>
        <v>5286381</v>
      </c>
    </row>
    <row r="808" spans="1:6" ht="17.100000000000001" customHeight="1">
      <c r="A808" s="530"/>
      <c r="B808" s="540"/>
      <c r="C808" s="541"/>
      <c r="D808" s="1371" t="s">
        <v>583</v>
      </c>
      <c r="E808" s="1372"/>
      <c r="F808" s="547">
        <f>F809+F829</f>
        <v>5286381</v>
      </c>
    </row>
    <row r="809" spans="1:6" ht="17.100000000000001" customHeight="1">
      <c r="A809" s="530"/>
      <c r="B809" s="540"/>
      <c r="C809" s="541"/>
      <c r="D809" s="1287" t="s">
        <v>584</v>
      </c>
      <c r="E809" s="1291"/>
      <c r="F809" s="539">
        <f>F810+F817</f>
        <v>5154181</v>
      </c>
    </row>
    <row r="810" spans="1:6" ht="17.100000000000001" customHeight="1">
      <c r="A810" s="530"/>
      <c r="B810" s="540"/>
      <c r="C810" s="541"/>
      <c r="D810" s="1289" t="s">
        <v>585</v>
      </c>
      <c r="E810" s="1292"/>
      <c r="F810" s="539">
        <f>SUM(F811:F815)</f>
        <v>4843466</v>
      </c>
    </row>
    <row r="811" spans="1:6" ht="17.100000000000001" customHeight="1">
      <c r="A811" s="530"/>
      <c r="B811" s="1268"/>
      <c r="C811" s="1269"/>
      <c r="D811" s="537" t="s">
        <v>527</v>
      </c>
      <c r="E811" s="538" t="s">
        <v>586</v>
      </c>
      <c r="F811" s="539">
        <v>3695802</v>
      </c>
    </row>
    <row r="812" spans="1:6" ht="17.100000000000001" customHeight="1">
      <c r="A812" s="530"/>
      <c r="B812" s="1268"/>
      <c r="C812" s="1269"/>
      <c r="D812" s="537" t="s">
        <v>587</v>
      </c>
      <c r="E812" s="538" t="s">
        <v>588</v>
      </c>
      <c r="F812" s="539">
        <v>323827</v>
      </c>
    </row>
    <row r="813" spans="1:6" ht="17.100000000000001" customHeight="1">
      <c r="A813" s="530"/>
      <c r="B813" s="1268"/>
      <c r="C813" s="1269"/>
      <c r="D813" s="537" t="s">
        <v>589</v>
      </c>
      <c r="E813" s="538" t="s">
        <v>590</v>
      </c>
      <c r="F813" s="539">
        <v>721754</v>
      </c>
    </row>
    <row r="814" spans="1:6" ht="17.100000000000001" customHeight="1">
      <c r="A814" s="530"/>
      <c r="B814" s="540"/>
      <c r="C814" s="541"/>
      <c r="D814" s="537" t="s">
        <v>591</v>
      </c>
      <c r="E814" s="538" t="s">
        <v>592</v>
      </c>
      <c r="F814" s="539">
        <v>100283</v>
      </c>
    </row>
    <row r="815" spans="1:6" ht="17.100000000000001" customHeight="1">
      <c r="A815" s="530"/>
      <c r="B815" s="1268"/>
      <c r="C815" s="1269"/>
      <c r="D815" s="537" t="s">
        <v>593</v>
      </c>
      <c r="E815" s="538" t="s">
        <v>822</v>
      </c>
      <c r="F815" s="539">
        <v>1800</v>
      </c>
    </row>
    <row r="816" spans="1:6" ht="17.100000000000001" customHeight="1">
      <c r="A816" s="530"/>
      <c r="B816" s="540"/>
      <c r="C816" s="541"/>
      <c r="D816" s="1268"/>
      <c r="E816" s="1270"/>
      <c r="F816" s="1271"/>
    </row>
    <row r="817" spans="1:6" ht="17.100000000000001" customHeight="1">
      <c r="A817" s="530"/>
      <c r="B817" s="540"/>
      <c r="C817" s="541"/>
      <c r="D817" s="1266" t="s">
        <v>595</v>
      </c>
      <c r="E817" s="1267"/>
      <c r="F817" s="539">
        <f>SUM(F818:F827)</f>
        <v>310715</v>
      </c>
    </row>
    <row r="818" spans="1:6" ht="17.100000000000001" customHeight="1">
      <c r="A818" s="530"/>
      <c r="B818" s="1268"/>
      <c r="C818" s="1269"/>
      <c r="D818" s="537" t="s">
        <v>598</v>
      </c>
      <c r="E818" s="538" t="s">
        <v>599</v>
      </c>
      <c r="F818" s="539">
        <v>18060</v>
      </c>
    </row>
    <row r="819" spans="1:6" ht="17.100000000000001" customHeight="1">
      <c r="A819" s="530"/>
      <c r="B819" s="1268"/>
      <c r="C819" s="1269"/>
      <c r="D819" s="537" t="s">
        <v>720</v>
      </c>
      <c r="E819" s="538" t="s">
        <v>721</v>
      </c>
      <c r="F819" s="539">
        <v>4699</v>
      </c>
    </row>
    <row r="820" spans="1:6" ht="17.100000000000001" customHeight="1">
      <c r="A820" s="530"/>
      <c r="B820" s="1268"/>
      <c r="C820" s="1269"/>
      <c r="D820" s="537" t="s">
        <v>604</v>
      </c>
      <c r="E820" s="538" t="s">
        <v>605</v>
      </c>
      <c r="F820" s="539">
        <v>2500</v>
      </c>
    </row>
    <row r="821" spans="1:6" ht="17.100000000000001" customHeight="1">
      <c r="A821" s="530"/>
      <c r="B821" s="1268"/>
      <c r="C821" s="1269"/>
      <c r="D821" s="537" t="s">
        <v>606</v>
      </c>
      <c r="E821" s="538" t="s">
        <v>607</v>
      </c>
      <c r="F821" s="539">
        <v>4035</v>
      </c>
    </row>
    <row r="822" spans="1:6" ht="17.100000000000001" customHeight="1">
      <c r="A822" s="530"/>
      <c r="B822" s="1268"/>
      <c r="C822" s="1269"/>
      <c r="D822" s="537" t="s">
        <v>406</v>
      </c>
      <c r="E822" s="538" t="s">
        <v>608</v>
      </c>
      <c r="F822" s="539">
        <v>21408</v>
      </c>
    </row>
    <row r="823" spans="1:6" ht="16.5" customHeight="1">
      <c r="A823" s="530"/>
      <c r="B823" s="1268"/>
      <c r="C823" s="1269"/>
      <c r="D823" s="537" t="s">
        <v>609</v>
      </c>
      <c r="E823" s="538" t="s">
        <v>610</v>
      </c>
      <c r="F823" s="539">
        <v>9100</v>
      </c>
    </row>
    <row r="824" spans="1:6" ht="17.100000000000001" customHeight="1">
      <c r="A824" s="530"/>
      <c r="B824" s="540"/>
      <c r="C824" s="541"/>
      <c r="D824" s="537" t="s">
        <v>611</v>
      </c>
      <c r="E824" s="538" t="s">
        <v>612</v>
      </c>
      <c r="F824" s="539">
        <v>63000</v>
      </c>
    </row>
    <row r="825" spans="1:6" ht="17.100000000000001" customHeight="1">
      <c r="A825" s="530"/>
      <c r="B825" s="1268"/>
      <c r="C825" s="1269"/>
      <c r="D825" s="537" t="s">
        <v>613</v>
      </c>
      <c r="E825" s="538" t="s">
        <v>614</v>
      </c>
      <c r="F825" s="539">
        <v>3500</v>
      </c>
    </row>
    <row r="826" spans="1:6" ht="17.100000000000001" customHeight="1">
      <c r="A826" s="530"/>
      <c r="B826" s="1268"/>
      <c r="C826" s="1269"/>
      <c r="D826" s="537" t="s">
        <v>617</v>
      </c>
      <c r="E826" s="538" t="s">
        <v>618</v>
      </c>
      <c r="F826" s="539">
        <v>182963</v>
      </c>
    </row>
    <row r="827" spans="1:6" ht="17.100000000000001" customHeight="1">
      <c r="A827" s="530"/>
      <c r="B827" s="1268"/>
      <c r="C827" s="1269"/>
      <c r="D827" s="537" t="s">
        <v>627</v>
      </c>
      <c r="E827" s="538" t="s">
        <v>628</v>
      </c>
      <c r="F827" s="539">
        <v>1450</v>
      </c>
    </row>
    <row r="828" spans="1:6" ht="17.100000000000001" customHeight="1">
      <c r="A828" s="530"/>
      <c r="B828" s="1268"/>
      <c r="C828" s="1269"/>
      <c r="D828" s="1268"/>
      <c r="E828" s="1270"/>
      <c r="F828" s="1271"/>
    </row>
    <row r="829" spans="1:6" ht="17.100000000000001" customHeight="1">
      <c r="A829" s="530"/>
      <c r="B829" s="1268"/>
      <c r="C829" s="1269"/>
      <c r="D829" s="1293" t="s">
        <v>787</v>
      </c>
      <c r="E829" s="1294"/>
      <c r="F829" s="539">
        <f>F830</f>
        <v>132200</v>
      </c>
    </row>
    <row r="830" spans="1:6" ht="17.100000000000001" customHeight="1">
      <c r="A830" s="530"/>
      <c r="B830" s="1268"/>
      <c r="C830" s="1269"/>
      <c r="D830" s="537" t="s">
        <v>630</v>
      </c>
      <c r="E830" s="538" t="s">
        <v>631</v>
      </c>
      <c r="F830" s="539">
        <v>132200</v>
      </c>
    </row>
    <row r="831" spans="1:6" ht="17.100000000000001" customHeight="1">
      <c r="A831" s="530"/>
      <c r="B831" s="1295" t="s">
        <v>823</v>
      </c>
      <c r="C831" s="1296"/>
      <c r="D831" s="542"/>
      <c r="E831" s="543" t="s">
        <v>824</v>
      </c>
      <c r="F831" s="544">
        <f>F832</f>
        <v>2415515</v>
      </c>
    </row>
    <row r="832" spans="1:6" ht="17.100000000000001" customHeight="1">
      <c r="A832" s="530"/>
      <c r="B832" s="1268"/>
      <c r="C832" s="1269"/>
      <c r="D832" s="1285" t="s">
        <v>583</v>
      </c>
      <c r="E832" s="1286"/>
      <c r="F832" s="534">
        <f>F833+F846</f>
        <v>2415515</v>
      </c>
    </row>
    <row r="833" spans="1:6" ht="17.100000000000001" customHeight="1">
      <c r="A833" s="530"/>
      <c r="B833" s="1268"/>
      <c r="C833" s="1269"/>
      <c r="D833" s="1287" t="s">
        <v>584</v>
      </c>
      <c r="E833" s="1291"/>
      <c r="F833" s="539">
        <f>F834+F840</f>
        <v>2380843</v>
      </c>
    </row>
    <row r="834" spans="1:6" ht="17.100000000000001" customHeight="1">
      <c r="A834" s="530"/>
      <c r="B834" s="1268"/>
      <c r="C834" s="1269"/>
      <c r="D834" s="1289" t="s">
        <v>585</v>
      </c>
      <c r="E834" s="1292"/>
      <c r="F834" s="539">
        <f>SUM(F835:F838)</f>
        <v>2282027</v>
      </c>
    </row>
    <row r="835" spans="1:6" ht="17.100000000000001" customHeight="1">
      <c r="A835" s="530"/>
      <c r="B835" s="1268"/>
      <c r="C835" s="1269"/>
      <c r="D835" s="537" t="s">
        <v>527</v>
      </c>
      <c r="E835" s="538" t="s">
        <v>586</v>
      </c>
      <c r="F835" s="539">
        <v>1750752</v>
      </c>
    </row>
    <row r="836" spans="1:6" ht="17.100000000000001" customHeight="1">
      <c r="A836" s="530"/>
      <c r="B836" s="1268"/>
      <c r="C836" s="1269"/>
      <c r="D836" s="537" t="s">
        <v>587</v>
      </c>
      <c r="E836" s="538" t="s">
        <v>588</v>
      </c>
      <c r="F836" s="539">
        <v>142800</v>
      </c>
    </row>
    <row r="837" spans="1:6" ht="17.100000000000001" customHeight="1">
      <c r="A837" s="530"/>
      <c r="B837" s="1268"/>
      <c r="C837" s="1269"/>
      <c r="D837" s="537" t="s">
        <v>589</v>
      </c>
      <c r="E837" s="538" t="s">
        <v>590</v>
      </c>
      <c r="F837" s="539">
        <v>341375</v>
      </c>
    </row>
    <row r="838" spans="1:6" ht="17.100000000000001" customHeight="1">
      <c r="A838" s="530"/>
      <c r="B838" s="1268"/>
      <c r="C838" s="1269"/>
      <c r="D838" s="537" t="s">
        <v>591</v>
      </c>
      <c r="E838" s="538" t="s">
        <v>592</v>
      </c>
      <c r="F838" s="539">
        <v>47100</v>
      </c>
    </row>
    <row r="839" spans="1:6" ht="17.100000000000001" customHeight="1">
      <c r="A839" s="530"/>
      <c r="B839" s="1268"/>
      <c r="C839" s="1269"/>
      <c r="D839" s="1268"/>
      <c r="E839" s="1270"/>
      <c r="F839" s="1271"/>
    </row>
    <row r="840" spans="1:6" ht="17.100000000000001" customHeight="1">
      <c r="A840" s="530"/>
      <c r="B840" s="1268"/>
      <c r="C840" s="1269"/>
      <c r="D840" s="1266" t="s">
        <v>595</v>
      </c>
      <c r="E840" s="1267"/>
      <c r="F840" s="539">
        <f>SUM(F841:F844)</f>
        <v>98816</v>
      </c>
    </row>
    <row r="841" spans="1:6" ht="17.100000000000001" customHeight="1">
      <c r="A841" s="530"/>
      <c r="B841" s="1268"/>
      <c r="C841" s="1269"/>
      <c r="D841" s="537" t="s">
        <v>598</v>
      </c>
      <c r="E841" s="538" t="s">
        <v>599</v>
      </c>
      <c r="F841" s="539">
        <v>2890</v>
      </c>
    </row>
    <row r="842" spans="1:6" ht="17.100000000000001" customHeight="1">
      <c r="A842" s="530"/>
      <c r="B842" s="1268"/>
      <c r="C842" s="1269"/>
      <c r="D842" s="537" t="s">
        <v>720</v>
      </c>
      <c r="E842" s="538" t="s">
        <v>721</v>
      </c>
      <c r="F842" s="539">
        <v>2300</v>
      </c>
    </row>
    <row r="843" spans="1:6" ht="17.100000000000001" customHeight="1">
      <c r="A843" s="530"/>
      <c r="B843" s="1268"/>
      <c r="C843" s="1269"/>
      <c r="D843" s="537" t="s">
        <v>606</v>
      </c>
      <c r="E843" s="538" t="s">
        <v>607</v>
      </c>
      <c r="F843" s="539">
        <v>980</v>
      </c>
    </row>
    <row r="844" spans="1:6" ht="17.100000000000001" customHeight="1">
      <c r="A844" s="530"/>
      <c r="B844" s="1268"/>
      <c r="C844" s="1269"/>
      <c r="D844" s="537" t="s">
        <v>617</v>
      </c>
      <c r="E844" s="538" t="s">
        <v>618</v>
      </c>
      <c r="F844" s="539">
        <v>92646</v>
      </c>
    </row>
    <row r="845" spans="1:6" ht="17.100000000000001" customHeight="1">
      <c r="A845" s="530"/>
      <c r="B845" s="1268"/>
      <c r="C845" s="1269"/>
      <c r="D845" s="1268"/>
      <c r="E845" s="1270"/>
      <c r="F845" s="1271"/>
    </row>
    <row r="846" spans="1:6" ht="17.100000000000001" customHeight="1">
      <c r="A846" s="530"/>
      <c r="B846" s="1268"/>
      <c r="C846" s="1269"/>
      <c r="D846" s="1293" t="s">
        <v>787</v>
      </c>
      <c r="E846" s="1294"/>
      <c r="F846" s="539">
        <f>F847</f>
        <v>34672</v>
      </c>
    </row>
    <row r="847" spans="1:6" ht="17.100000000000001" customHeight="1">
      <c r="A847" s="530"/>
      <c r="B847" s="1303"/>
      <c r="C847" s="1334"/>
      <c r="D847" s="537" t="s">
        <v>630</v>
      </c>
      <c r="E847" s="538" t="s">
        <v>631</v>
      </c>
      <c r="F847" s="539">
        <v>34672</v>
      </c>
    </row>
    <row r="848" spans="1:6" ht="17.100000000000001" customHeight="1">
      <c r="A848" s="530"/>
      <c r="B848" s="1295" t="s">
        <v>825</v>
      </c>
      <c r="C848" s="1296"/>
      <c r="D848" s="542"/>
      <c r="E848" s="543" t="s">
        <v>826</v>
      </c>
      <c r="F848" s="544">
        <f>F849</f>
        <v>709352</v>
      </c>
    </row>
    <row r="849" spans="1:6" ht="17.100000000000001" customHeight="1">
      <c r="A849" s="530"/>
      <c r="B849" s="1281"/>
      <c r="C849" s="1282"/>
      <c r="D849" s="1285" t="s">
        <v>583</v>
      </c>
      <c r="E849" s="1286"/>
      <c r="F849" s="534">
        <f>F850+F863</f>
        <v>709352</v>
      </c>
    </row>
    <row r="850" spans="1:6" ht="17.100000000000001" customHeight="1">
      <c r="A850" s="530"/>
      <c r="B850" s="1283"/>
      <c r="C850" s="1284"/>
      <c r="D850" s="1287" t="s">
        <v>584</v>
      </c>
      <c r="E850" s="1291"/>
      <c r="F850" s="539">
        <f>F851+F857</f>
        <v>708778</v>
      </c>
    </row>
    <row r="851" spans="1:6" ht="17.100000000000001" customHeight="1">
      <c r="A851" s="530"/>
      <c r="B851" s="1283"/>
      <c r="C851" s="1284"/>
      <c r="D851" s="1289" t="s">
        <v>585</v>
      </c>
      <c r="E851" s="1292"/>
      <c r="F851" s="539">
        <f>SUM(F852:F855)</f>
        <v>670160</v>
      </c>
    </row>
    <row r="852" spans="1:6" ht="17.100000000000001" customHeight="1">
      <c r="A852" s="530"/>
      <c r="B852" s="1283"/>
      <c r="C852" s="1284"/>
      <c r="D852" s="537" t="s">
        <v>527</v>
      </c>
      <c r="E852" s="538" t="s">
        <v>586</v>
      </c>
      <c r="F852" s="539">
        <v>517526</v>
      </c>
    </row>
    <row r="853" spans="1:6" ht="17.100000000000001" customHeight="1">
      <c r="A853" s="530"/>
      <c r="B853" s="1283"/>
      <c r="C853" s="1284"/>
      <c r="D853" s="537" t="s">
        <v>587</v>
      </c>
      <c r="E853" s="538" t="s">
        <v>588</v>
      </c>
      <c r="F853" s="539">
        <v>42786</v>
      </c>
    </row>
    <row r="854" spans="1:6" ht="17.100000000000001" customHeight="1">
      <c r="A854" s="530"/>
      <c r="B854" s="1283"/>
      <c r="C854" s="1284"/>
      <c r="D854" s="537" t="s">
        <v>589</v>
      </c>
      <c r="E854" s="538" t="s">
        <v>590</v>
      </c>
      <c r="F854" s="539">
        <v>96082</v>
      </c>
    </row>
    <row r="855" spans="1:6" ht="17.100000000000001" customHeight="1">
      <c r="A855" s="530"/>
      <c r="B855" s="1283"/>
      <c r="C855" s="1284"/>
      <c r="D855" s="537" t="s">
        <v>591</v>
      </c>
      <c r="E855" s="538" t="s">
        <v>592</v>
      </c>
      <c r="F855" s="539">
        <v>13766</v>
      </c>
    </row>
    <row r="856" spans="1:6" ht="17.100000000000001" customHeight="1">
      <c r="A856" s="530"/>
      <c r="B856" s="1283"/>
      <c r="C856" s="1284"/>
      <c r="D856" s="1268"/>
      <c r="E856" s="1270"/>
      <c r="F856" s="1271"/>
    </row>
    <row r="857" spans="1:6" ht="17.100000000000001" customHeight="1">
      <c r="A857" s="530"/>
      <c r="B857" s="1283"/>
      <c r="C857" s="1284"/>
      <c r="D857" s="1266" t="s">
        <v>595</v>
      </c>
      <c r="E857" s="1267"/>
      <c r="F857" s="539">
        <f>SUM(F858:F861)</f>
        <v>38618</v>
      </c>
    </row>
    <row r="858" spans="1:6" ht="17.100000000000001" customHeight="1">
      <c r="A858" s="530"/>
      <c r="B858" s="1283"/>
      <c r="C858" s="1284"/>
      <c r="D858" s="537" t="s">
        <v>598</v>
      </c>
      <c r="E858" s="538" t="s">
        <v>599</v>
      </c>
      <c r="F858" s="539">
        <v>4100</v>
      </c>
    </row>
    <row r="859" spans="1:6" ht="17.100000000000001" customHeight="1">
      <c r="A859" s="530"/>
      <c r="B859" s="1283"/>
      <c r="C859" s="1284"/>
      <c r="D859" s="537" t="s">
        <v>720</v>
      </c>
      <c r="E859" s="538" t="s">
        <v>827</v>
      </c>
      <c r="F859" s="539">
        <v>3192</v>
      </c>
    </row>
    <row r="860" spans="1:6" ht="17.100000000000001" customHeight="1">
      <c r="A860" s="530"/>
      <c r="B860" s="1283"/>
      <c r="C860" s="1284"/>
      <c r="D860" s="537" t="s">
        <v>606</v>
      </c>
      <c r="E860" s="538" t="s">
        <v>607</v>
      </c>
      <c r="F860" s="539">
        <v>376</v>
      </c>
    </row>
    <row r="861" spans="1:6" ht="17.100000000000001" customHeight="1">
      <c r="A861" s="530"/>
      <c r="B861" s="1283"/>
      <c r="C861" s="1284"/>
      <c r="D861" s="537" t="s">
        <v>617</v>
      </c>
      <c r="E861" s="538" t="s">
        <v>618</v>
      </c>
      <c r="F861" s="539">
        <v>30950</v>
      </c>
    </row>
    <row r="862" spans="1:6" ht="17.100000000000001" customHeight="1">
      <c r="A862" s="530"/>
      <c r="B862" s="1313"/>
      <c r="C862" s="1338"/>
      <c r="D862" s="1268"/>
      <c r="E862" s="1315"/>
      <c r="F862" s="1316"/>
    </row>
    <row r="863" spans="1:6" ht="17.100000000000001" customHeight="1">
      <c r="A863" s="530"/>
      <c r="B863" s="1313"/>
      <c r="C863" s="1338"/>
      <c r="D863" s="1293" t="s">
        <v>787</v>
      </c>
      <c r="E863" s="1411"/>
      <c r="F863" s="539">
        <f>F864</f>
        <v>574</v>
      </c>
    </row>
    <row r="864" spans="1:6" ht="17.100000000000001" customHeight="1">
      <c r="A864" s="530"/>
      <c r="B864" s="1339"/>
      <c r="C864" s="1340"/>
      <c r="D864" s="537" t="s">
        <v>630</v>
      </c>
      <c r="E864" s="538" t="s">
        <v>631</v>
      </c>
      <c r="F864" s="539">
        <v>574</v>
      </c>
    </row>
    <row r="865" spans="1:6" ht="17.100000000000001" customHeight="1">
      <c r="A865" s="530"/>
      <c r="B865" s="1295" t="s">
        <v>537</v>
      </c>
      <c r="C865" s="1296"/>
      <c r="D865" s="542"/>
      <c r="E865" s="543" t="s">
        <v>828</v>
      </c>
      <c r="F865" s="544">
        <f>SUM(F866,F921)</f>
        <v>19696864</v>
      </c>
    </row>
    <row r="866" spans="1:6" ht="17.100000000000001" customHeight="1">
      <c r="A866" s="530"/>
      <c r="B866" s="540"/>
      <c r="C866" s="541"/>
      <c r="D866" s="1285" t="s">
        <v>583</v>
      </c>
      <c r="E866" s="1286"/>
      <c r="F866" s="534">
        <f>F867+F893+F897</f>
        <v>19422809</v>
      </c>
    </row>
    <row r="867" spans="1:6" ht="17.100000000000001" customHeight="1">
      <c r="A867" s="530"/>
      <c r="B867" s="540"/>
      <c r="C867" s="541"/>
      <c r="D867" s="1287" t="s">
        <v>584</v>
      </c>
      <c r="E867" s="1291"/>
      <c r="F867" s="539">
        <f>F868+F875</f>
        <v>18116151</v>
      </c>
    </row>
    <row r="868" spans="1:6" ht="17.100000000000001" customHeight="1">
      <c r="A868" s="530"/>
      <c r="B868" s="540"/>
      <c r="C868" s="541"/>
      <c r="D868" s="1289" t="s">
        <v>585</v>
      </c>
      <c r="E868" s="1292"/>
      <c r="F868" s="539">
        <f>SUM(F869:F873)</f>
        <v>16056667</v>
      </c>
    </row>
    <row r="869" spans="1:6" ht="17.100000000000001" customHeight="1">
      <c r="A869" s="530"/>
      <c r="B869" s="1268"/>
      <c r="C869" s="1269"/>
      <c r="D869" s="537" t="s">
        <v>527</v>
      </c>
      <c r="E869" s="538" t="s">
        <v>586</v>
      </c>
      <c r="F869" s="539">
        <v>12501863</v>
      </c>
    </row>
    <row r="870" spans="1:6" ht="17.100000000000001" customHeight="1">
      <c r="A870" s="530"/>
      <c r="B870" s="1268"/>
      <c r="C870" s="1269"/>
      <c r="D870" s="537" t="s">
        <v>587</v>
      </c>
      <c r="E870" s="538" t="s">
        <v>588</v>
      </c>
      <c r="F870" s="539">
        <v>963235</v>
      </c>
    </row>
    <row r="871" spans="1:6" ht="17.100000000000001" customHeight="1">
      <c r="A871" s="530"/>
      <c r="B871" s="1268"/>
      <c r="C871" s="1269"/>
      <c r="D871" s="537" t="s">
        <v>589</v>
      </c>
      <c r="E871" s="538" t="s">
        <v>590</v>
      </c>
      <c r="F871" s="539">
        <v>2276001</v>
      </c>
    </row>
    <row r="872" spans="1:6" ht="17.100000000000001" customHeight="1">
      <c r="A872" s="530"/>
      <c r="B872" s="1268"/>
      <c r="C872" s="1269"/>
      <c r="D872" s="537" t="s">
        <v>591</v>
      </c>
      <c r="E872" s="538" t="s">
        <v>592</v>
      </c>
      <c r="F872" s="539">
        <v>287318</v>
      </c>
    </row>
    <row r="873" spans="1:6" ht="17.100000000000001" customHeight="1">
      <c r="A873" s="530"/>
      <c r="B873" s="1268"/>
      <c r="C873" s="1269"/>
      <c r="D873" s="551" t="s">
        <v>593</v>
      </c>
      <c r="E873" s="552" t="s">
        <v>594</v>
      </c>
      <c r="F873" s="553">
        <v>28250</v>
      </c>
    </row>
    <row r="874" spans="1:6" ht="17.100000000000001" customHeight="1">
      <c r="A874" s="530"/>
      <c r="B874" s="1268"/>
      <c r="C874" s="1270"/>
      <c r="D874" s="1412"/>
      <c r="E874" s="1413"/>
      <c r="F874" s="1414"/>
    </row>
    <row r="875" spans="1:6" ht="17.100000000000001" customHeight="1">
      <c r="A875" s="530"/>
      <c r="B875" s="540"/>
      <c r="C875" s="541"/>
      <c r="D875" s="1266" t="s">
        <v>595</v>
      </c>
      <c r="E875" s="1267"/>
      <c r="F875" s="635">
        <f>SUM(F876:F891)</f>
        <v>2059484</v>
      </c>
    </row>
    <row r="876" spans="1:6" ht="17.100000000000001" customHeight="1">
      <c r="A876" s="530"/>
      <c r="B876" s="540"/>
      <c r="C876" s="541"/>
      <c r="D876" s="537" t="s">
        <v>596</v>
      </c>
      <c r="E876" s="538" t="s">
        <v>597</v>
      </c>
      <c r="F876" s="539">
        <v>31200</v>
      </c>
    </row>
    <row r="877" spans="1:6" ht="17.100000000000001" customHeight="1">
      <c r="A877" s="530"/>
      <c r="B877" s="1268"/>
      <c r="C877" s="1269"/>
      <c r="D877" s="537" t="s">
        <v>598</v>
      </c>
      <c r="E877" s="538" t="s">
        <v>599</v>
      </c>
      <c r="F877" s="539">
        <v>149799</v>
      </c>
    </row>
    <row r="878" spans="1:6" ht="17.100000000000001" customHeight="1">
      <c r="A878" s="530"/>
      <c r="B878" s="1268"/>
      <c r="C878" s="1269"/>
      <c r="D878" s="537" t="s">
        <v>720</v>
      </c>
      <c r="E878" s="538" t="s">
        <v>721</v>
      </c>
      <c r="F878" s="539">
        <v>125400</v>
      </c>
    </row>
    <row r="879" spans="1:6" ht="17.100000000000001" customHeight="1">
      <c r="A879" s="530"/>
      <c r="B879" s="1268"/>
      <c r="C879" s="1269"/>
      <c r="D879" s="537" t="s">
        <v>602</v>
      </c>
      <c r="E879" s="538" t="s">
        <v>603</v>
      </c>
      <c r="F879" s="539">
        <v>598788</v>
      </c>
    </row>
    <row r="880" spans="1:6" ht="17.100000000000001" customHeight="1">
      <c r="A880" s="530"/>
      <c r="B880" s="1268"/>
      <c r="C880" s="1269"/>
      <c r="D880" s="537" t="s">
        <v>604</v>
      </c>
      <c r="E880" s="538" t="s">
        <v>605</v>
      </c>
      <c r="F880" s="539">
        <v>44688</v>
      </c>
    </row>
    <row r="881" spans="1:6" ht="17.100000000000001" customHeight="1">
      <c r="A881" s="530"/>
      <c r="B881" s="1268"/>
      <c r="C881" s="1269"/>
      <c r="D881" s="537" t="s">
        <v>606</v>
      </c>
      <c r="E881" s="538" t="s">
        <v>607</v>
      </c>
      <c r="F881" s="539">
        <v>16411</v>
      </c>
    </row>
    <row r="882" spans="1:6" ht="17.100000000000001" customHeight="1">
      <c r="A882" s="530"/>
      <c r="B882" s="1268"/>
      <c r="C882" s="1269"/>
      <c r="D882" s="537" t="s">
        <v>406</v>
      </c>
      <c r="E882" s="538" t="s">
        <v>608</v>
      </c>
      <c r="F882" s="539">
        <v>300285</v>
      </c>
    </row>
    <row r="883" spans="1:6" ht="25.5">
      <c r="A883" s="530"/>
      <c r="B883" s="540"/>
      <c r="C883" s="541"/>
      <c r="D883" s="537" t="s">
        <v>829</v>
      </c>
      <c r="E883" s="538" t="s">
        <v>830</v>
      </c>
      <c r="F883" s="539">
        <v>5000</v>
      </c>
    </row>
    <row r="884" spans="1:6" ht="16.5" customHeight="1">
      <c r="A884" s="530"/>
      <c r="B884" s="1268"/>
      <c r="C884" s="1269"/>
      <c r="D884" s="537" t="s">
        <v>609</v>
      </c>
      <c r="E884" s="538" t="s">
        <v>610</v>
      </c>
      <c r="F884" s="539">
        <v>30677</v>
      </c>
    </row>
    <row r="885" spans="1:6" ht="16.5" customHeight="1">
      <c r="A885" s="530"/>
      <c r="B885" s="1268"/>
      <c r="C885" s="1269"/>
      <c r="D885" s="537" t="s">
        <v>664</v>
      </c>
      <c r="E885" s="538" t="s">
        <v>649</v>
      </c>
      <c r="F885" s="539">
        <v>930</v>
      </c>
    </row>
    <row r="886" spans="1:6" ht="16.5" customHeight="1">
      <c r="A886" s="530"/>
      <c r="B886" s="1268"/>
      <c r="C886" s="1269"/>
      <c r="D886" s="537" t="s">
        <v>611</v>
      </c>
      <c r="E886" s="538" t="s">
        <v>612</v>
      </c>
      <c r="F886" s="539">
        <v>7800</v>
      </c>
    </row>
    <row r="887" spans="1:6" ht="17.100000000000001" customHeight="1">
      <c r="A887" s="530"/>
      <c r="B887" s="1268"/>
      <c r="C887" s="1269"/>
      <c r="D887" s="537" t="s">
        <v>613</v>
      </c>
      <c r="E887" s="538" t="s">
        <v>614</v>
      </c>
      <c r="F887" s="539">
        <v>21810</v>
      </c>
    </row>
    <row r="888" spans="1:6" ht="17.100000000000001" customHeight="1">
      <c r="A888" s="530"/>
      <c r="B888" s="1268"/>
      <c r="C888" s="1269"/>
      <c r="D888" s="537" t="s">
        <v>615</v>
      </c>
      <c r="E888" s="538" t="s">
        <v>616</v>
      </c>
      <c r="F888" s="539">
        <v>22230</v>
      </c>
    </row>
    <row r="889" spans="1:6" ht="17.100000000000001" customHeight="1">
      <c r="A889" s="530"/>
      <c r="B889" s="1268"/>
      <c r="C889" s="1269"/>
      <c r="D889" s="537" t="s">
        <v>617</v>
      </c>
      <c r="E889" s="538" t="s">
        <v>618</v>
      </c>
      <c r="F889" s="539">
        <v>665351</v>
      </c>
    </row>
    <row r="890" spans="1:6" ht="17.100000000000001" customHeight="1">
      <c r="A890" s="530"/>
      <c r="B890" s="540"/>
      <c r="C890" s="541"/>
      <c r="D890" s="537" t="s">
        <v>623</v>
      </c>
      <c r="E890" s="538" t="s">
        <v>831</v>
      </c>
      <c r="F890" s="539">
        <v>28915</v>
      </c>
    </row>
    <row r="891" spans="1:6" ht="17.100000000000001" customHeight="1">
      <c r="A891" s="530"/>
      <c r="B891" s="1268"/>
      <c r="C891" s="1269"/>
      <c r="D891" s="537" t="s">
        <v>627</v>
      </c>
      <c r="E891" s="538" t="s">
        <v>628</v>
      </c>
      <c r="F891" s="539">
        <v>10200</v>
      </c>
    </row>
    <row r="892" spans="1:6" ht="17.100000000000001" customHeight="1">
      <c r="A892" s="530"/>
      <c r="B892" s="540"/>
      <c r="C892" s="541"/>
      <c r="D892" s="1268"/>
      <c r="E892" s="1270"/>
      <c r="F892" s="1271"/>
    </row>
    <row r="893" spans="1:6" ht="17.100000000000001" customHeight="1">
      <c r="A893" s="530"/>
      <c r="B893" s="540"/>
      <c r="C893" s="541"/>
      <c r="D893" s="1293" t="s">
        <v>787</v>
      </c>
      <c r="E893" s="1294"/>
      <c r="F893" s="539">
        <f>F894+F895</f>
        <v>52021</v>
      </c>
    </row>
    <row r="894" spans="1:6">
      <c r="A894" s="530"/>
      <c r="B894" s="540"/>
      <c r="C894" s="541"/>
      <c r="D894" s="551" t="s">
        <v>630</v>
      </c>
      <c r="E894" s="552" t="s">
        <v>631</v>
      </c>
      <c r="F894" s="553">
        <v>52021</v>
      </c>
    </row>
    <row r="895" spans="1:6">
      <c r="A895" s="530"/>
      <c r="B895" s="540"/>
      <c r="C895" s="581"/>
      <c r="D895" s="548" t="s">
        <v>832</v>
      </c>
      <c r="E895" s="599" t="s">
        <v>833</v>
      </c>
      <c r="F895" s="539">
        <v>0</v>
      </c>
    </row>
    <row r="896" spans="1:6">
      <c r="A896" s="530"/>
      <c r="B896" s="540"/>
      <c r="C896" s="541"/>
      <c r="D896" s="1268"/>
      <c r="E896" s="1270"/>
      <c r="F896" s="1271"/>
    </row>
    <row r="897" spans="1:6">
      <c r="A897" s="530"/>
      <c r="B897" s="540"/>
      <c r="C897" s="541"/>
      <c r="D897" s="1415" t="s">
        <v>647</v>
      </c>
      <c r="E897" s="1415"/>
      <c r="F897" s="636">
        <f>SUM(F898:F919)</f>
        <v>1254637</v>
      </c>
    </row>
    <row r="898" spans="1:6">
      <c r="A898" s="530"/>
      <c r="B898" s="540"/>
      <c r="C898" s="541"/>
      <c r="D898" s="537" t="s">
        <v>429</v>
      </c>
      <c r="E898" s="599" t="s">
        <v>833</v>
      </c>
      <c r="F898" s="636">
        <v>195838</v>
      </c>
    </row>
    <row r="899" spans="1:6">
      <c r="A899" s="530"/>
      <c r="B899" s="540"/>
      <c r="C899" s="541"/>
      <c r="D899" s="537" t="s">
        <v>430</v>
      </c>
      <c r="E899" s="599" t="s">
        <v>833</v>
      </c>
      <c r="F899" s="636">
        <v>34562</v>
      </c>
    </row>
    <row r="900" spans="1:6">
      <c r="A900" s="530"/>
      <c r="B900" s="540"/>
      <c r="C900" s="541"/>
      <c r="D900" s="537" t="s">
        <v>391</v>
      </c>
      <c r="E900" s="538" t="s">
        <v>586</v>
      </c>
      <c r="F900" s="636">
        <v>112411</v>
      </c>
    </row>
    <row r="901" spans="1:6">
      <c r="A901" s="530"/>
      <c r="B901" s="540"/>
      <c r="C901" s="541"/>
      <c r="D901" s="537" t="s">
        <v>363</v>
      </c>
      <c r="E901" s="538" t="s">
        <v>586</v>
      </c>
      <c r="F901" s="636">
        <v>19837</v>
      </c>
    </row>
    <row r="902" spans="1:6">
      <c r="A902" s="530"/>
      <c r="B902" s="540"/>
      <c r="C902" s="541"/>
      <c r="D902" s="537" t="s">
        <v>393</v>
      </c>
      <c r="E902" s="538" t="s">
        <v>590</v>
      </c>
      <c r="F902" s="636">
        <v>21839</v>
      </c>
    </row>
    <row r="903" spans="1:6">
      <c r="A903" s="530"/>
      <c r="B903" s="540"/>
      <c r="C903" s="541"/>
      <c r="D903" s="537" t="s">
        <v>335</v>
      </c>
      <c r="E903" s="538" t="s">
        <v>590</v>
      </c>
      <c r="F903" s="636">
        <v>3853</v>
      </c>
    </row>
    <row r="904" spans="1:6">
      <c r="A904" s="530"/>
      <c r="B904" s="540"/>
      <c r="C904" s="541"/>
      <c r="D904" s="537" t="s">
        <v>394</v>
      </c>
      <c r="E904" s="538" t="s">
        <v>592</v>
      </c>
      <c r="F904" s="636">
        <v>3099</v>
      </c>
    </row>
    <row r="905" spans="1:6">
      <c r="A905" s="530"/>
      <c r="B905" s="540"/>
      <c r="C905" s="541"/>
      <c r="D905" s="537" t="s">
        <v>367</v>
      </c>
      <c r="E905" s="538" t="s">
        <v>592</v>
      </c>
      <c r="F905" s="636">
        <v>548</v>
      </c>
    </row>
    <row r="906" spans="1:6">
      <c r="A906" s="530"/>
      <c r="B906" s="540"/>
      <c r="C906" s="541"/>
      <c r="D906" s="537" t="s">
        <v>395</v>
      </c>
      <c r="E906" s="538" t="s">
        <v>594</v>
      </c>
      <c r="F906" s="636">
        <v>2125</v>
      </c>
    </row>
    <row r="907" spans="1:6">
      <c r="A907" s="530"/>
      <c r="B907" s="540"/>
      <c r="C907" s="541"/>
      <c r="D907" s="537" t="s">
        <v>337</v>
      </c>
      <c r="E907" s="538" t="s">
        <v>594</v>
      </c>
      <c r="F907" s="636">
        <v>375</v>
      </c>
    </row>
    <row r="908" spans="1:6">
      <c r="A908" s="530"/>
      <c r="B908" s="540"/>
      <c r="C908" s="541"/>
      <c r="D908" s="537" t="s">
        <v>396</v>
      </c>
      <c r="E908" s="538" t="s">
        <v>599</v>
      </c>
      <c r="F908" s="636">
        <v>13488</v>
      </c>
    </row>
    <row r="909" spans="1:6">
      <c r="A909" s="530"/>
      <c r="B909" s="540"/>
      <c r="C909" s="541"/>
      <c r="D909" s="537" t="s">
        <v>340</v>
      </c>
      <c r="E909" s="538" t="s">
        <v>599</v>
      </c>
      <c r="F909" s="636">
        <v>2378</v>
      </c>
    </row>
    <row r="910" spans="1:6">
      <c r="A910" s="530"/>
      <c r="B910" s="540"/>
      <c r="C910" s="541"/>
      <c r="D910" s="537" t="s">
        <v>538</v>
      </c>
      <c r="E910" s="538" t="s">
        <v>721</v>
      </c>
      <c r="F910" s="636">
        <v>281300</v>
      </c>
    </row>
    <row r="911" spans="1:6">
      <c r="A911" s="530"/>
      <c r="B911" s="540"/>
      <c r="C911" s="541"/>
      <c r="D911" s="537" t="s">
        <v>539</v>
      </c>
      <c r="E911" s="538" t="s">
        <v>721</v>
      </c>
      <c r="F911" s="636">
        <v>49642</v>
      </c>
    </row>
    <row r="912" spans="1:6">
      <c r="A912" s="530"/>
      <c r="B912" s="540"/>
      <c r="C912" s="541"/>
      <c r="D912" s="537" t="s">
        <v>431</v>
      </c>
      <c r="E912" s="538" t="s">
        <v>603</v>
      </c>
      <c r="F912" s="636">
        <v>1811</v>
      </c>
    </row>
    <row r="913" spans="1:7">
      <c r="A913" s="530"/>
      <c r="B913" s="540"/>
      <c r="C913" s="541"/>
      <c r="D913" s="537" t="s">
        <v>373</v>
      </c>
      <c r="E913" s="538" t="s">
        <v>603</v>
      </c>
      <c r="F913" s="636">
        <v>320</v>
      </c>
    </row>
    <row r="914" spans="1:7">
      <c r="A914" s="530"/>
      <c r="B914" s="540"/>
      <c r="C914" s="541"/>
      <c r="D914" s="537" t="s">
        <v>397</v>
      </c>
      <c r="E914" s="538" t="s">
        <v>608</v>
      </c>
      <c r="F914" s="636">
        <v>227266</v>
      </c>
    </row>
    <row r="915" spans="1:7">
      <c r="A915" s="530"/>
      <c r="B915" s="540"/>
      <c r="C915" s="541"/>
      <c r="D915" s="537" t="s">
        <v>342</v>
      </c>
      <c r="E915" s="538" t="s">
        <v>608</v>
      </c>
      <c r="F915" s="636">
        <v>40107</v>
      </c>
    </row>
    <row r="916" spans="1:7">
      <c r="A916" s="530"/>
      <c r="B916" s="540"/>
      <c r="C916" s="541"/>
      <c r="D916" s="537" t="s">
        <v>432</v>
      </c>
      <c r="E916" s="538" t="s">
        <v>610</v>
      </c>
      <c r="F916" s="636">
        <v>907</v>
      </c>
    </row>
    <row r="917" spans="1:7">
      <c r="A917" s="530"/>
      <c r="B917" s="540"/>
      <c r="C917" s="541"/>
      <c r="D917" s="537" t="s">
        <v>433</v>
      </c>
      <c r="E917" s="538" t="s">
        <v>610</v>
      </c>
      <c r="F917" s="636">
        <v>160</v>
      </c>
    </row>
    <row r="918" spans="1:7">
      <c r="A918" s="530"/>
      <c r="B918" s="540"/>
      <c r="C918" s="541"/>
      <c r="D918" s="537" t="s">
        <v>403</v>
      </c>
      <c r="E918" s="538" t="s">
        <v>628</v>
      </c>
      <c r="F918" s="636">
        <v>206357</v>
      </c>
    </row>
    <row r="919" spans="1:7">
      <c r="A919" s="530"/>
      <c r="B919" s="540"/>
      <c r="C919" s="541"/>
      <c r="D919" s="537" t="s">
        <v>379</v>
      </c>
      <c r="E919" s="538" t="s">
        <v>628</v>
      </c>
      <c r="F919" s="636">
        <v>36414</v>
      </c>
    </row>
    <row r="920" spans="1:7">
      <c r="A920" s="530"/>
      <c r="B920" s="540"/>
      <c r="C920" s="541"/>
      <c r="D920" s="537"/>
      <c r="E920" s="537"/>
      <c r="F920" s="637"/>
    </row>
    <row r="921" spans="1:7" ht="12.75" customHeight="1">
      <c r="A921" s="530"/>
      <c r="B921" s="540"/>
      <c r="C921" s="541"/>
      <c r="D921" s="1306" t="s">
        <v>636</v>
      </c>
      <c r="E921" s="1307"/>
      <c r="F921" s="547">
        <f>F922</f>
        <v>274055</v>
      </c>
    </row>
    <row r="922" spans="1:7" ht="15" customHeight="1">
      <c r="A922" s="530"/>
      <c r="B922" s="540"/>
      <c r="C922" s="541"/>
      <c r="D922" s="1293" t="s">
        <v>637</v>
      </c>
      <c r="E922" s="1357"/>
      <c r="F922" s="539">
        <f>SUM(F923:F924)</f>
        <v>274055</v>
      </c>
    </row>
    <row r="923" spans="1:7">
      <c r="A923" s="530"/>
      <c r="B923" s="540"/>
      <c r="C923" s="541"/>
      <c r="D923" s="550" t="s">
        <v>408</v>
      </c>
      <c r="E923" s="555" t="s">
        <v>655</v>
      </c>
      <c r="F923" s="539">
        <v>232946</v>
      </c>
    </row>
    <row r="924" spans="1:7">
      <c r="A924" s="530"/>
      <c r="B924" s="540"/>
      <c r="C924" s="541"/>
      <c r="D924" s="592" t="s">
        <v>689</v>
      </c>
      <c r="E924" s="555" t="s">
        <v>655</v>
      </c>
      <c r="F924" s="566">
        <v>41109</v>
      </c>
    </row>
    <row r="925" spans="1:7">
      <c r="A925" s="530"/>
      <c r="B925" s="540"/>
      <c r="C925" s="541"/>
      <c r="D925" s="592"/>
      <c r="E925" s="638"/>
      <c r="F925" s="566"/>
    </row>
    <row r="926" spans="1:7" ht="15" customHeight="1">
      <c r="A926" s="530"/>
      <c r="B926" s="540"/>
      <c r="C926" s="541"/>
      <c r="D926" s="1266" t="s">
        <v>641</v>
      </c>
      <c r="E926" s="1297"/>
      <c r="F926" s="539">
        <f>SUM(F927:F928)</f>
        <v>274055</v>
      </c>
    </row>
    <row r="927" spans="1:7">
      <c r="A927" s="530"/>
      <c r="B927" s="540"/>
      <c r="C927" s="541"/>
      <c r="D927" s="550" t="s">
        <v>408</v>
      </c>
      <c r="E927" s="555" t="s">
        <v>655</v>
      </c>
      <c r="F927" s="539">
        <v>232946</v>
      </c>
    </row>
    <row r="928" spans="1:7">
      <c r="A928" s="530"/>
      <c r="B928" s="540"/>
      <c r="C928" s="541"/>
      <c r="D928" s="592" t="s">
        <v>689</v>
      </c>
      <c r="E928" s="555" t="s">
        <v>655</v>
      </c>
      <c r="F928" s="566">
        <v>41109</v>
      </c>
      <c r="G928" s="564"/>
    </row>
    <row r="929" spans="1:6" ht="17.100000000000001" customHeight="1">
      <c r="A929" s="530"/>
      <c r="B929" s="1295" t="s">
        <v>532</v>
      </c>
      <c r="C929" s="1296"/>
      <c r="D929" s="542"/>
      <c r="E929" s="543" t="s">
        <v>834</v>
      </c>
      <c r="F929" s="544">
        <f>F930</f>
        <v>9335942</v>
      </c>
    </row>
    <row r="930" spans="1:6" ht="17.100000000000001" customHeight="1">
      <c r="A930" s="530"/>
      <c r="B930" s="540"/>
      <c r="C930" s="541"/>
      <c r="D930" s="1285" t="s">
        <v>583</v>
      </c>
      <c r="E930" s="1286"/>
      <c r="F930" s="534">
        <f>F931+F952+F955</f>
        <v>9335942</v>
      </c>
    </row>
    <row r="931" spans="1:6" ht="17.100000000000001" customHeight="1">
      <c r="A931" s="530"/>
      <c r="B931" s="540"/>
      <c r="C931" s="541"/>
      <c r="D931" s="1287" t="s">
        <v>584</v>
      </c>
      <c r="E931" s="1291"/>
      <c r="F931" s="539">
        <f>F932+F939</f>
        <v>7750448</v>
      </c>
    </row>
    <row r="932" spans="1:6" ht="17.100000000000001" customHeight="1">
      <c r="A932" s="530"/>
      <c r="B932" s="540"/>
      <c r="C932" s="541"/>
      <c r="D932" s="1289" t="s">
        <v>585</v>
      </c>
      <c r="E932" s="1292"/>
      <c r="F932" s="539">
        <f>SUM(F933:F937)</f>
        <v>7076922</v>
      </c>
    </row>
    <row r="933" spans="1:6" ht="17.100000000000001" customHeight="1">
      <c r="A933" s="530"/>
      <c r="B933" s="1268"/>
      <c r="C933" s="1269"/>
      <c r="D933" s="537" t="s">
        <v>527</v>
      </c>
      <c r="E933" s="538" t="s">
        <v>586</v>
      </c>
      <c r="F933" s="539">
        <v>5606621</v>
      </c>
    </row>
    <row r="934" spans="1:6" ht="17.100000000000001" customHeight="1">
      <c r="A934" s="530"/>
      <c r="B934" s="540"/>
      <c r="C934" s="541"/>
      <c r="D934" s="537" t="s">
        <v>587</v>
      </c>
      <c r="E934" s="538" t="s">
        <v>588</v>
      </c>
      <c r="F934" s="539">
        <v>461411</v>
      </c>
    </row>
    <row r="935" spans="1:6" ht="17.100000000000001" customHeight="1">
      <c r="A935" s="530"/>
      <c r="B935" s="540"/>
      <c r="C935" s="541"/>
      <c r="D935" s="537" t="s">
        <v>589</v>
      </c>
      <c r="E935" s="538" t="s">
        <v>590</v>
      </c>
      <c r="F935" s="539">
        <v>896058</v>
      </c>
    </row>
    <row r="936" spans="1:6" ht="17.100000000000001" customHeight="1">
      <c r="A936" s="530"/>
      <c r="B936" s="540"/>
      <c r="C936" s="541"/>
      <c r="D936" s="537" t="s">
        <v>591</v>
      </c>
      <c r="E936" s="538" t="s">
        <v>592</v>
      </c>
      <c r="F936" s="539">
        <v>108832</v>
      </c>
    </row>
    <row r="937" spans="1:6" ht="17.100000000000001" customHeight="1">
      <c r="A937" s="530"/>
      <c r="B937" s="540"/>
      <c r="C937" s="541"/>
      <c r="D937" s="537" t="s">
        <v>593</v>
      </c>
      <c r="E937" s="538" t="s">
        <v>594</v>
      </c>
      <c r="F937" s="539">
        <v>4000</v>
      </c>
    </row>
    <row r="938" spans="1:6" ht="17.100000000000001" customHeight="1">
      <c r="A938" s="530"/>
      <c r="B938" s="540"/>
      <c r="C938" s="541"/>
      <c r="D938" s="1268"/>
      <c r="E938" s="1270"/>
      <c r="F938" s="1271"/>
    </row>
    <row r="939" spans="1:6" ht="17.100000000000001" customHeight="1">
      <c r="A939" s="530"/>
      <c r="B939" s="540"/>
      <c r="C939" s="541"/>
      <c r="D939" s="1266" t="s">
        <v>595</v>
      </c>
      <c r="E939" s="1267"/>
      <c r="F939" s="539">
        <f>SUM(F940:F950)</f>
        <v>673526</v>
      </c>
    </row>
    <row r="940" spans="1:6" ht="17.100000000000001" customHeight="1">
      <c r="A940" s="530"/>
      <c r="B940" s="540"/>
      <c r="C940" s="541"/>
      <c r="D940" s="537" t="s">
        <v>596</v>
      </c>
      <c r="E940" s="538" t="s">
        <v>597</v>
      </c>
      <c r="F940" s="539">
        <v>51252</v>
      </c>
    </row>
    <row r="941" spans="1:6" ht="17.100000000000001" customHeight="1">
      <c r="A941" s="530"/>
      <c r="B941" s="540"/>
      <c r="C941" s="541"/>
      <c r="D941" s="537" t="s">
        <v>598</v>
      </c>
      <c r="E941" s="538" t="s">
        <v>599</v>
      </c>
      <c r="F941" s="539">
        <v>7800</v>
      </c>
    </row>
    <row r="942" spans="1:6" ht="17.100000000000001" customHeight="1">
      <c r="A942" s="530"/>
      <c r="B942" s="540"/>
      <c r="C942" s="541"/>
      <c r="D942" s="537" t="s">
        <v>602</v>
      </c>
      <c r="E942" s="538" t="s">
        <v>603</v>
      </c>
      <c r="F942" s="539">
        <v>78360</v>
      </c>
    </row>
    <row r="943" spans="1:6" ht="17.100000000000001" customHeight="1">
      <c r="A943" s="530"/>
      <c r="B943" s="540"/>
      <c r="C943" s="541"/>
      <c r="D943" s="537" t="s">
        <v>604</v>
      </c>
      <c r="E943" s="538" t="s">
        <v>605</v>
      </c>
      <c r="F943" s="539">
        <v>78000</v>
      </c>
    </row>
    <row r="944" spans="1:6" ht="17.100000000000001" customHeight="1">
      <c r="A944" s="530"/>
      <c r="B944" s="540"/>
      <c r="C944" s="541"/>
      <c r="D944" s="537" t="s">
        <v>606</v>
      </c>
      <c r="E944" s="538" t="s">
        <v>607</v>
      </c>
      <c r="F944" s="539">
        <v>11058</v>
      </c>
    </row>
    <row r="945" spans="1:6" ht="17.100000000000001" customHeight="1">
      <c r="A945" s="530"/>
      <c r="B945" s="540"/>
      <c r="C945" s="541"/>
      <c r="D945" s="537" t="s">
        <v>406</v>
      </c>
      <c r="E945" s="538" t="s">
        <v>608</v>
      </c>
      <c r="F945" s="539">
        <v>19107</v>
      </c>
    </row>
    <row r="946" spans="1:6" ht="17.100000000000001" hidden="1" customHeight="1">
      <c r="A946" s="530"/>
      <c r="B946" s="540"/>
      <c r="C946" s="541"/>
      <c r="D946" s="537" t="s">
        <v>835</v>
      </c>
      <c r="E946" s="538" t="s">
        <v>836</v>
      </c>
      <c r="F946" s="539"/>
    </row>
    <row r="947" spans="1:6" ht="17.100000000000001" customHeight="1">
      <c r="A947" s="530"/>
      <c r="B947" s="540"/>
      <c r="C947" s="541"/>
      <c r="D947" s="537" t="s">
        <v>613</v>
      </c>
      <c r="E947" s="538" t="s">
        <v>614</v>
      </c>
      <c r="F947" s="539">
        <v>33404</v>
      </c>
    </row>
    <row r="948" spans="1:6" ht="17.100000000000001" hidden="1" customHeight="1">
      <c r="A948" s="530"/>
      <c r="B948" s="540"/>
      <c r="C948" s="541"/>
      <c r="D948" s="537" t="s">
        <v>615</v>
      </c>
      <c r="E948" s="538" t="s">
        <v>616</v>
      </c>
      <c r="F948" s="539"/>
    </row>
    <row r="949" spans="1:6" ht="17.100000000000001" customHeight="1">
      <c r="A949" s="530"/>
      <c r="B949" s="540"/>
      <c r="C949" s="541"/>
      <c r="D949" s="537" t="s">
        <v>617</v>
      </c>
      <c r="E949" s="538" t="s">
        <v>618</v>
      </c>
      <c r="F949" s="539">
        <v>234575</v>
      </c>
    </row>
    <row r="950" spans="1:6" ht="17.100000000000001" customHeight="1">
      <c r="A950" s="530"/>
      <c r="B950" s="540"/>
      <c r="C950" s="541"/>
      <c r="D950" s="537" t="s">
        <v>627</v>
      </c>
      <c r="E950" s="538" t="s">
        <v>628</v>
      </c>
      <c r="F950" s="539">
        <v>159970</v>
      </c>
    </row>
    <row r="951" spans="1:6" ht="17.100000000000001" customHeight="1">
      <c r="A951" s="530"/>
      <c r="B951" s="540"/>
      <c r="C951" s="541"/>
      <c r="D951" s="1268"/>
      <c r="E951" s="1270"/>
      <c r="F951" s="1271"/>
    </row>
    <row r="952" spans="1:6" ht="17.100000000000001" customHeight="1">
      <c r="A952" s="530"/>
      <c r="B952" s="1268"/>
      <c r="C952" s="1269"/>
      <c r="D952" s="1417" t="s">
        <v>787</v>
      </c>
      <c r="E952" s="1418"/>
      <c r="F952" s="639">
        <f>F953</f>
        <v>14600</v>
      </c>
    </row>
    <row r="953" spans="1:6" ht="17.100000000000001" customHeight="1">
      <c r="A953" s="530"/>
      <c r="B953" s="540"/>
      <c r="C953" s="581"/>
      <c r="D953" s="640" t="s">
        <v>630</v>
      </c>
      <c r="E953" s="641" t="s">
        <v>631</v>
      </c>
      <c r="F953" s="535">
        <v>14600</v>
      </c>
    </row>
    <row r="954" spans="1:6">
      <c r="A954" s="530"/>
      <c r="B954" s="540"/>
      <c r="C954" s="581"/>
      <c r="D954" s="642"/>
      <c r="E954" s="643"/>
      <c r="F954" s="535"/>
    </row>
    <row r="955" spans="1:6">
      <c r="A955" s="530"/>
      <c r="B955" s="540"/>
      <c r="C955" s="541"/>
      <c r="D955" s="1416" t="s">
        <v>647</v>
      </c>
      <c r="E955" s="1291"/>
      <c r="F955" s="539">
        <f>SUM(F956:F975)</f>
        <v>1570894</v>
      </c>
    </row>
    <row r="956" spans="1:6" ht="54" customHeight="1">
      <c r="A956" s="530"/>
      <c r="B956" s="540"/>
      <c r="C956" s="581"/>
      <c r="D956" s="644" t="s">
        <v>412</v>
      </c>
      <c r="E956" s="645" t="s">
        <v>837</v>
      </c>
      <c r="F956" s="539">
        <v>811761</v>
      </c>
    </row>
    <row r="957" spans="1:6" ht="51">
      <c r="A957" s="530"/>
      <c r="B957" s="540"/>
      <c r="C957" s="581"/>
      <c r="D957" s="646" t="s">
        <v>466</v>
      </c>
      <c r="E957" s="645" t="s">
        <v>837</v>
      </c>
      <c r="F957" s="539">
        <v>47679</v>
      </c>
    </row>
    <row r="958" spans="1:6">
      <c r="A958" s="530"/>
      <c r="B958" s="540"/>
      <c r="C958" s="541"/>
      <c r="D958" s="550" t="s">
        <v>533</v>
      </c>
      <c r="E958" s="538" t="s">
        <v>631</v>
      </c>
      <c r="F958" s="539">
        <v>274</v>
      </c>
    </row>
    <row r="959" spans="1:6">
      <c r="A959" s="530"/>
      <c r="B959" s="540"/>
      <c r="C959" s="541"/>
      <c r="D959" s="537" t="s">
        <v>371</v>
      </c>
      <c r="E959" s="538" t="s">
        <v>631</v>
      </c>
      <c r="F959" s="539">
        <v>16</v>
      </c>
    </row>
    <row r="960" spans="1:6">
      <c r="A960" s="530"/>
      <c r="B960" s="1268"/>
      <c r="C960" s="1269"/>
      <c r="D960" s="537" t="s">
        <v>391</v>
      </c>
      <c r="E960" s="538" t="s">
        <v>586</v>
      </c>
      <c r="F960" s="539">
        <v>111520</v>
      </c>
    </row>
    <row r="961" spans="1:6">
      <c r="A961" s="530"/>
      <c r="B961" s="1268"/>
      <c r="C961" s="1269"/>
      <c r="D961" s="537" t="s">
        <v>363</v>
      </c>
      <c r="E961" s="538" t="s">
        <v>586</v>
      </c>
      <c r="F961" s="539">
        <v>6553</v>
      </c>
    </row>
    <row r="962" spans="1:6">
      <c r="A962" s="530"/>
      <c r="B962" s="1268"/>
      <c r="C962" s="1269"/>
      <c r="D962" s="537" t="s">
        <v>393</v>
      </c>
      <c r="E962" s="538" t="s">
        <v>590</v>
      </c>
      <c r="F962" s="539">
        <v>19171</v>
      </c>
    </row>
    <row r="963" spans="1:6">
      <c r="A963" s="530"/>
      <c r="B963" s="1268"/>
      <c r="C963" s="1269"/>
      <c r="D963" s="537" t="s">
        <v>335</v>
      </c>
      <c r="E963" s="538" t="s">
        <v>590</v>
      </c>
      <c r="F963" s="539">
        <v>1126</v>
      </c>
    </row>
    <row r="964" spans="1:6">
      <c r="A964" s="530"/>
      <c r="B964" s="1268"/>
      <c r="C964" s="1269"/>
      <c r="D964" s="537" t="s">
        <v>394</v>
      </c>
      <c r="E964" s="538" t="s">
        <v>592</v>
      </c>
      <c r="F964" s="539">
        <v>2732</v>
      </c>
    </row>
    <row r="965" spans="1:6">
      <c r="A965" s="530"/>
      <c r="B965" s="1268"/>
      <c r="C965" s="1269"/>
      <c r="D965" s="537" t="s">
        <v>367</v>
      </c>
      <c r="E965" s="538" t="s">
        <v>592</v>
      </c>
      <c r="F965" s="539">
        <v>161</v>
      </c>
    </row>
    <row r="966" spans="1:6">
      <c r="A966" s="530"/>
      <c r="B966" s="1268"/>
      <c r="C966" s="1269"/>
      <c r="D966" s="537" t="s">
        <v>396</v>
      </c>
      <c r="E966" s="538" t="s">
        <v>599</v>
      </c>
      <c r="F966" s="539">
        <v>8784</v>
      </c>
    </row>
    <row r="967" spans="1:6">
      <c r="A967" s="530"/>
      <c r="B967" s="1268"/>
      <c r="C967" s="1269"/>
      <c r="D967" s="537" t="s">
        <v>340</v>
      </c>
      <c r="E967" s="538" t="s">
        <v>599</v>
      </c>
      <c r="F967" s="539">
        <v>516</v>
      </c>
    </row>
    <row r="968" spans="1:6">
      <c r="A968" s="530"/>
      <c r="B968" s="1268"/>
      <c r="C968" s="1269"/>
      <c r="D968" s="537" t="s">
        <v>528</v>
      </c>
      <c r="E968" s="538" t="s">
        <v>607</v>
      </c>
      <c r="F968" s="539">
        <v>142</v>
      </c>
    </row>
    <row r="969" spans="1:6">
      <c r="A969" s="530"/>
      <c r="B969" s="540"/>
      <c r="C969" s="541"/>
      <c r="D969" s="537" t="s">
        <v>375</v>
      </c>
      <c r="E969" s="538" t="s">
        <v>607</v>
      </c>
      <c r="F969" s="539">
        <v>8</v>
      </c>
    </row>
    <row r="970" spans="1:6">
      <c r="A970" s="530"/>
      <c r="B970" s="1268"/>
      <c r="C970" s="1269"/>
      <c r="D970" s="537" t="s">
        <v>397</v>
      </c>
      <c r="E970" s="538" t="s">
        <v>608</v>
      </c>
      <c r="F970" s="539">
        <v>525298</v>
      </c>
    </row>
    <row r="971" spans="1:6">
      <c r="A971" s="530"/>
      <c r="B971" s="1268"/>
      <c r="C971" s="1269"/>
      <c r="D971" s="537" t="s">
        <v>342</v>
      </c>
      <c r="E971" s="538" t="s">
        <v>608</v>
      </c>
      <c r="F971" s="539">
        <v>30853</v>
      </c>
    </row>
    <row r="972" spans="1:6">
      <c r="A972" s="530"/>
      <c r="B972" s="1268"/>
      <c r="C972" s="1269"/>
      <c r="D972" s="537" t="s">
        <v>432</v>
      </c>
      <c r="E972" s="538" t="s">
        <v>838</v>
      </c>
      <c r="F972" s="539">
        <v>1700</v>
      </c>
    </row>
    <row r="973" spans="1:6">
      <c r="A973" s="530"/>
      <c r="B973" s="540"/>
      <c r="C973" s="541"/>
      <c r="D973" s="537" t="s">
        <v>433</v>
      </c>
      <c r="E973" s="538" t="s">
        <v>838</v>
      </c>
      <c r="F973" s="539">
        <v>100</v>
      </c>
    </row>
    <row r="974" spans="1:6">
      <c r="A974" s="530"/>
      <c r="B974" s="1268"/>
      <c r="C974" s="1269"/>
      <c r="D974" s="551" t="s">
        <v>400</v>
      </c>
      <c r="E974" s="552" t="s">
        <v>614</v>
      </c>
      <c r="F974" s="553">
        <v>2361</v>
      </c>
    </row>
    <row r="975" spans="1:6">
      <c r="A975" s="530"/>
      <c r="B975" s="540"/>
      <c r="C975" s="541"/>
      <c r="D975" s="551" t="s">
        <v>346</v>
      </c>
      <c r="E975" s="552" t="s">
        <v>614</v>
      </c>
      <c r="F975" s="553">
        <v>139</v>
      </c>
    </row>
    <row r="976" spans="1:6" ht="17.100000000000001" customHeight="1">
      <c r="A976" s="530"/>
      <c r="B976" s="1295" t="s">
        <v>526</v>
      </c>
      <c r="C976" s="1296"/>
      <c r="D976" s="542"/>
      <c r="E976" s="543" t="s">
        <v>839</v>
      </c>
      <c r="F976" s="647">
        <f>SUM(F977)</f>
        <v>9827596</v>
      </c>
    </row>
    <row r="977" spans="1:6" ht="17.100000000000001" customHeight="1">
      <c r="A977" s="530"/>
      <c r="B977" s="540"/>
      <c r="C977" s="541"/>
      <c r="D977" s="1371" t="s">
        <v>583</v>
      </c>
      <c r="E977" s="1372"/>
      <c r="F977" s="547">
        <f>F978+F1003+F1006</f>
        <v>9827596</v>
      </c>
    </row>
    <row r="978" spans="1:6" ht="17.100000000000001" customHeight="1">
      <c r="A978" s="530"/>
      <c r="B978" s="540"/>
      <c r="C978" s="541"/>
      <c r="D978" s="1287" t="s">
        <v>584</v>
      </c>
      <c r="E978" s="1291"/>
      <c r="F978" s="539">
        <f>F979+F986</f>
        <v>9508126</v>
      </c>
    </row>
    <row r="979" spans="1:6" ht="17.100000000000001" customHeight="1">
      <c r="A979" s="530"/>
      <c r="B979" s="540"/>
      <c r="C979" s="541"/>
      <c r="D979" s="1289" t="s">
        <v>585</v>
      </c>
      <c r="E979" s="1292"/>
      <c r="F979" s="539">
        <f>SUM(F980:F984)</f>
        <v>7428405</v>
      </c>
    </row>
    <row r="980" spans="1:6" ht="17.100000000000001" customHeight="1">
      <c r="A980" s="530"/>
      <c r="B980" s="1268"/>
      <c r="C980" s="1269"/>
      <c r="D980" s="537" t="s">
        <v>527</v>
      </c>
      <c r="E980" s="538" t="s">
        <v>586</v>
      </c>
      <c r="F980" s="539">
        <v>5782670</v>
      </c>
    </row>
    <row r="981" spans="1:6" ht="17.100000000000001" customHeight="1">
      <c r="A981" s="530"/>
      <c r="B981" s="1268"/>
      <c r="C981" s="1269"/>
      <c r="D981" s="537" t="s">
        <v>587</v>
      </c>
      <c r="E981" s="538" t="s">
        <v>588</v>
      </c>
      <c r="F981" s="539">
        <v>477574</v>
      </c>
    </row>
    <row r="982" spans="1:6" ht="17.100000000000001" customHeight="1">
      <c r="A982" s="530"/>
      <c r="B982" s="1268"/>
      <c r="C982" s="1269"/>
      <c r="D982" s="551" t="s">
        <v>589</v>
      </c>
      <c r="E982" s="552" t="s">
        <v>590</v>
      </c>
      <c r="F982" s="553">
        <v>1056498</v>
      </c>
    </row>
    <row r="983" spans="1:6" ht="17.100000000000001" customHeight="1">
      <c r="A983" s="530"/>
      <c r="B983" s="1268"/>
      <c r="C983" s="1270"/>
      <c r="D983" s="640" t="s">
        <v>591</v>
      </c>
      <c r="E983" s="641" t="s">
        <v>592</v>
      </c>
      <c r="F983" s="539">
        <v>107163</v>
      </c>
    </row>
    <row r="984" spans="1:6" ht="17.100000000000001" customHeight="1">
      <c r="A984" s="530"/>
      <c r="B984" s="1268"/>
      <c r="C984" s="1269"/>
      <c r="D984" s="628" t="s">
        <v>593</v>
      </c>
      <c r="E984" s="602" t="s">
        <v>594</v>
      </c>
      <c r="F984" s="648">
        <v>4500</v>
      </c>
    </row>
    <row r="985" spans="1:6" ht="17.100000000000001" customHeight="1">
      <c r="A985" s="530"/>
      <c r="B985" s="540"/>
      <c r="C985" s="541"/>
      <c r="D985" s="1324"/>
      <c r="E985" s="1325"/>
      <c r="F985" s="1326"/>
    </row>
    <row r="986" spans="1:6" ht="17.100000000000001" customHeight="1">
      <c r="A986" s="530"/>
      <c r="B986" s="540"/>
      <c r="C986" s="541"/>
      <c r="D986" s="1266" t="s">
        <v>595</v>
      </c>
      <c r="E986" s="1267"/>
      <c r="F986" s="594">
        <f>SUM(F987:F1001)</f>
        <v>2079721</v>
      </c>
    </row>
    <row r="987" spans="1:6" ht="17.100000000000001" customHeight="1">
      <c r="A987" s="530"/>
      <c r="B987" s="540"/>
      <c r="C987" s="541"/>
      <c r="D987" s="550" t="s">
        <v>596</v>
      </c>
      <c r="E987" s="555" t="s">
        <v>597</v>
      </c>
      <c r="F987" s="566">
        <v>35476</v>
      </c>
    </row>
    <row r="988" spans="1:6" ht="17.100000000000001" customHeight="1">
      <c r="A988" s="530"/>
      <c r="B988" s="1268"/>
      <c r="C988" s="1269"/>
      <c r="D988" s="537" t="s">
        <v>598</v>
      </c>
      <c r="E988" s="538" t="s">
        <v>599</v>
      </c>
      <c r="F988" s="539">
        <v>199863</v>
      </c>
    </row>
    <row r="989" spans="1:6" ht="17.100000000000001" customHeight="1">
      <c r="A989" s="530"/>
      <c r="B989" s="1268"/>
      <c r="C989" s="1269"/>
      <c r="D989" s="537" t="s">
        <v>720</v>
      </c>
      <c r="E989" s="538" t="s">
        <v>721</v>
      </c>
      <c r="F989" s="539">
        <v>128300</v>
      </c>
    </row>
    <row r="990" spans="1:6" ht="17.100000000000001" customHeight="1">
      <c r="A990" s="530"/>
      <c r="B990" s="1268"/>
      <c r="C990" s="1269"/>
      <c r="D990" s="537" t="s">
        <v>602</v>
      </c>
      <c r="E990" s="538" t="s">
        <v>603</v>
      </c>
      <c r="F990" s="539">
        <v>559595</v>
      </c>
    </row>
    <row r="991" spans="1:6" ht="17.100000000000001" customHeight="1">
      <c r="A991" s="530"/>
      <c r="B991" s="1268"/>
      <c r="C991" s="1269"/>
      <c r="D991" s="537" t="s">
        <v>604</v>
      </c>
      <c r="E991" s="538" t="s">
        <v>605</v>
      </c>
      <c r="F991" s="539">
        <v>44000</v>
      </c>
    </row>
    <row r="992" spans="1:6" ht="17.100000000000001" customHeight="1">
      <c r="A992" s="530"/>
      <c r="B992" s="1268"/>
      <c r="C992" s="1269"/>
      <c r="D992" s="537" t="s">
        <v>606</v>
      </c>
      <c r="E992" s="538" t="s">
        <v>607</v>
      </c>
      <c r="F992" s="539">
        <v>7645</v>
      </c>
    </row>
    <row r="993" spans="1:6">
      <c r="A993" s="530"/>
      <c r="B993" s="1268"/>
      <c r="C993" s="1269"/>
      <c r="D993" s="537" t="s">
        <v>406</v>
      </c>
      <c r="E993" s="538" t="s">
        <v>608</v>
      </c>
      <c r="F993" s="539">
        <v>282209</v>
      </c>
    </row>
    <row r="994" spans="1:6" ht="30.75" customHeight="1">
      <c r="A994" s="530"/>
      <c r="B994" s="540"/>
      <c r="C994" s="541"/>
      <c r="D994" s="537" t="s">
        <v>829</v>
      </c>
      <c r="E994" s="538" t="s">
        <v>830</v>
      </c>
      <c r="F994" s="539">
        <v>30500</v>
      </c>
    </row>
    <row r="995" spans="1:6" ht="16.5" customHeight="1">
      <c r="A995" s="530"/>
      <c r="B995" s="1268"/>
      <c r="C995" s="1269"/>
      <c r="D995" s="537" t="s">
        <v>609</v>
      </c>
      <c r="E995" s="538" t="s">
        <v>610</v>
      </c>
      <c r="F995" s="539">
        <v>100935</v>
      </c>
    </row>
    <row r="996" spans="1:6" ht="20.25" customHeight="1">
      <c r="A996" s="530"/>
      <c r="B996" s="1268"/>
      <c r="C996" s="1269"/>
      <c r="D996" s="537" t="s">
        <v>611</v>
      </c>
      <c r="E996" s="538" t="s">
        <v>612</v>
      </c>
      <c r="F996" s="539">
        <v>318250</v>
      </c>
    </row>
    <row r="997" spans="1:6" ht="17.100000000000001" customHeight="1">
      <c r="A997" s="530"/>
      <c r="B997" s="1268"/>
      <c r="C997" s="1269"/>
      <c r="D997" s="537" t="s">
        <v>613</v>
      </c>
      <c r="E997" s="538" t="s">
        <v>614</v>
      </c>
      <c r="F997" s="539">
        <v>17450</v>
      </c>
    </row>
    <row r="998" spans="1:6" ht="17.100000000000001" customHeight="1">
      <c r="A998" s="530"/>
      <c r="B998" s="1268"/>
      <c r="C998" s="1269"/>
      <c r="D998" s="537" t="s">
        <v>615</v>
      </c>
      <c r="E998" s="538" t="s">
        <v>616</v>
      </c>
      <c r="F998" s="539">
        <v>24684</v>
      </c>
    </row>
    <row r="999" spans="1:6" ht="17.100000000000001" customHeight="1">
      <c r="A999" s="530"/>
      <c r="B999" s="1268"/>
      <c r="C999" s="1269"/>
      <c r="D999" s="537" t="s">
        <v>617</v>
      </c>
      <c r="E999" s="538" t="s">
        <v>618</v>
      </c>
      <c r="F999" s="539">
        <v>313142</v>
      </c>
    </row>
    <row r="1000" spans="1:6" ht="17.100000000000001" customHeight="1">
      <c r="A1000" s="530"/>
      <c r="B1000" s="540"/>
      <c r="C1000" s="541"/>
      <c r="D1000" s="537" t="s">
        <v>623</v>
      </c>
      <c r="E1000" s="538" t="s">
        <v>624</v>
      </c>
      <c r="F1000" s="539">
        <v>692</v>
      </c>
    </row>
    <row r="1001" spans="1:6" ht="17.100000000000001" customHeight="1">
      <c r="A1001" s="530"/>
      <c r="B1001" s="1268"/>
      <c r="C1001" s="1269"/>
      <c r="D1001" s="537" t="s">
        <v>627</v>
      </c>
      <c r="E1001" s="538" t="s">
        <v>628</v>
      </c>
      <c r="F1001" s="539">
        <v>16980</v>
      </c>
    </row>
    <row r="1002" spans="1:6" ht="17.100000000000001" customHeight="1">
      <c r="A1002" s="530"/>
      <c r="B1002" s="540"/>
      <c r="C1002" s="541"/>
      <c r="D1002" s="1268"/>
      <c r="E1002" s="1270"/>
      <c r="F1002" s="1271"/>
    </row>
    <row r="1003" spans="1:6" ht="17.100000000000001" customHeight="1">
      <c r="A1003" s="530"/>
      <c r="B1003" s="540"/>
      <c r="C1003" s="541"/>
      <c r="D1003" s="1335" t="s">
        <v>787</v>
      </c>
      <c r="E1003" s="1419"/>
      <c r="F1003" s="553">
        <f>F1004</f>
        <v>10370</v>
      </c>
    </row>
    <row r="1004" spans="1:6">
      <c r="A1004" s="530"/>
      <c r="B1004" s="540"/>
      <c r="C1004" s="581"/>
      <c r="D1004" s="548" t="s">
        <v>630</v>
      </c>
      <c r="E1004" s="599" t="s">
        <v>631</v>
      </c>
      <c r="F1004" s="539">
        <v>10370</v>
      </c>
    </row>
    <row r="1005" spans="1:6">
      <c r="A1005" s="530"/>
      <c r="B1005" s="540"/>
      <c r="C1005" s="541"/>
      <c r="D1005" s="1420"/>
      <c r="E1005" s="1420"/>
      <c r="F1005" s="1421"/>
    </row>
    <row r="1006" spans="1:6">
      <c r="A1006" s="530"/>
      <c r="B1006" s="540"/>
      <c r="C1006" s="541"/>
      <c r="D1006" s="1416" t="s">
        <v>647</v>
      </c>
      <c r="E1006" s="1422"/>
      <c r="F1006" s="553">
        <f>SUM(F1007:F1009)</f>
        <v>309100</v>
      </c>
    </row>
    <row r="1007" spans="1:6">
      <c r="A1007" s="530"/>
      <c r="B1007" s="540"/>
      <c r="C1007" s="541"/>
      <c r="D1007" s="537" t="s">
        <v>527</v>
      </c>
      <c r="E1007" s="538" t="s">
        <v>586</v>
      </c>
      <c r="F1007" s="636">
        <v>30000</v>
      </c>
    </row>
    <row r="1008" spans="1:6">
      <c r="A1008" s="530"/>
      <c r="B1008" s="540"/>
      <c r="C1008" s="541"/>
      <c r="D1008" s="537" t="s">
        <v>397</v>
      </c>
      <c r="E1008" s="538" t="s">
        <v>608</v>
      </c>
      <c r="F1008" s="636">
        <v>237235</v>
      </c>
    </row>
    <row r="1009" spans="1:6">
      <c r="A1009" s="530"/>
      <c r="B1009" s="540"/>
      <c r="C1009" s="541"/>
      <c r="D1009" s="537" t="s">
        <v>342</v>
      </c>
      <c r="E1009" s="538" t="s">
        <v>608</v>
      </c>
      <c r="F1009" s="636">
        <v>41865</v>
      </c>
    </row>
    <row r="1010" spans="1:6" ht="17.100000000000001" customHeight="1">
      <c r="A1010" s="530"/>
      <c r="B1010" s="1295" t="s">
        <v>514</v>
      </c>
      <c r="C1010" s="1296"/>
      <c r="D1010" s="531"/>
      <c r="E1010" s="532" t="s">
        <v>238</v>
      </c>
      <c r="F1010" s="533">
        <f>F1011+F1043</f>
        <v>8283673</v>
      </c>
    </row>
    <row r="1011" spans="1:6" ht="17.100000000000001" customHeight="1">
      <c r="A1011" s="530"/>
      <c r="B1011" s="540"/>
      <c r="C1011" s="541"/>
      <c r="D1011" s="1285" t="s">
        <v>583</v>
      </c>
      <c r="E1011" s="1286"/>
      <c r="F1011" s="534">
        <f>F1012+F1024+F1028+F1033</f>
        <v>8220673</v>
      </c>
    </row>
    <row r="1012" spans="1:6" ht="17.100000000000001" customHeight="1">
      <c r="A1012" s="530"/>
      <c r="B1012" s="540"/>
      <c r="C1012" s="541"/>
      <c r="D1012" s="1287" t="s">
        <v>584</v>
      </c>
      <c r="E1012" s="1291"/>
      <c r="F1012" s="539">
        <f>F1013+F1019</f>
        <v>619399</v>
      </c>
    </row>
    <row r="1013" spans="1:6" ht="17.100000000000001" customHeight="1">
      <c r="A1013" s="530"/>
      <c r="B1013" s="540"/>
      <c r="C1013" s="541"/>
      <c r="D1013" s="1289" t="s">
        <v>585</v>
      </c>
      <c r="E1013" s="1292"/>
      <c r="F1013" s="539">
        <f>SUM(F1014:F1017)</f>
        <v>58173</v>
      </c>
    </row>
    <row r="1014" spans="1:6" ht="17.100000000000001" customHeight="1">
      <c r="A1014" s="530"/>
      <c r="B1014" s="1268"/>
      <c r="C1014" s="1269"/>
      <c r="D1014" s="537" t="s">
        <v>527</v>
      </c>
      <c r="E1014" s="538" t="s">
        <v>586</v>
      </c>
      <c r="F1014" s="539">
        <v>45948</v>
      </c>
    </row>
    <row r="1015" spans="1:6" ht="17.100000000000001" customHeight="1">
      <c r="A1015" s="530"/>
      <c r="B1015" s="540"/>
      <c r="C1015" s="541"/>
      <c r="D1015" s="537" t="s">
        <v>589</v>
      </c>
      <c r="E1015" s="538" t="s">
        <v>590</v>
      </c>
      <c r="F1015" s="539">
        <v>7899</v>
      </c>
    </row>
    <row r="1016" spans="1:6" ht="17.100000000000001" customHeight="1">
      <c r="A1016" s="530"/>
      <c r="B1016" s="540"/>
      <c r="C1016" s="541"/>
      <c r="D1016" s="537" t="s">
        <v>591</v>
      </c>
      <c r="E1016" s="538" t="s">
        <v>592</v>
      </c>
      <c r="F1016" s="539">
        <v>1126</v>
      </c>
    </row>
    <row r="1017" spans="1:6" ht="17.100000000000001" customHeight="1">
      <c r="A1017" s="530"/>
      <c r="B1017" s="540"/>
      <c r="C1017" s="541"/>
      <c r="D1017" s="537" t="s">
        <v>593</v>
      </c>
      <c r="E1017" s="538" t="s">
        <v>594</v>
      </c>
      <c r="F1017" s="539">
        <v>3200</v>
      </c>
    </row>
    <row r="1018" spans="1:6" ht="17.100000000000001" customHeight="1">
      <c r="A1018" s="530"/>
      <c r="B1018" s="540"/>
      <c r="C1018" s="541"/>
      <c r="D1018" s="1268"/>
      <c r="E1018" s="1270"/>
      <c r="F1018" s="1271"/>
    </row>
    <row r="1019" spans="1:6" ht="17.100000000000001" customHeight="1">
      <c r="A1019" s="530"/>
      <c r="B1019" s="540"/>
      <c r="C1019" s="541"/>
      <c r="D1019" s="1266" t="s">
        <v>595</v>
      </c>
      <c r="E1019" s="1267"/>
      <c r="F1019" s="539">
        <f>SUM(F1020:F1022)</f>
        <v>561226</v>
      </c>
    </row>
    <row r="1020" spans="1:6" ht="17.100000000000001" customHeight="1">
      <c r="A1020" s="530"/>
      <c r="B1020" s="540"/>
      <c r="C1020" s="541"/>
      <c r="D1020" s="537" t="s">
        <v>598</v>
      </c>
      <c r="E1020" s="538" t="s">
        <v>599</v>
      </c>
      <c r="F1020" s="539">
        <v>14000</v>
      </c>
    </row>
    <row r="1021" spans="1:6" ht="17.100000000000001" customHeight="1">
      <c r="A1021" s="530"/>
      <c r="B1021" s="540"/>
      <c r="C1021" s="541"/>
      <c r="D1021" s="537" t="s">
        <v>406</v>
      </c>
      <c r="E1021" s="538" t="s">
        <v>608</v>
      </c>
      <c r="F1021" s="539">
        <v>23000</v>
      </c>
    </row>
    <row r="1022" spans="1:6" ht="17.100000000000001" customHeight="1">
      <c r="A1022" s="530"/>
      <c r="B1022" s="540"/>
      <c r="C1022" s="541"/>
      <c r="D1022" s="537" t="s">
        <v>617</v>
      </c>
      <c r="E1022" s="538" t="s">
        <v>618</v>
      </c>
      <c r="F1022" s="539">
        <v>524226</v>
      </c>
    </row>
    <row r="1023" spans="1:6" ht="17.100000000000001" customHeight="1">
      <c r="A1023" s="530"/>
      <c r="B1023" s="540"/>
      <c r="C1023" s="541"/>
      <c r="D1023" s="1268"/>
      <c r="E1023" s="1270"/>
      <c r="F1023" s="1271"/>
    </row>
    <row r="1024" spans="1:6" ht="17.100000000000001" customHeight="1">
      <c r="A1024" s="530"/>
      <c r="B1024" s="540"/>
      <c r="C1024" s="541"/>
      <c r="D1024" s="1293" t="s">
        <v>643</v>
      </c>
      <c r="E1024" s="1419"/>
      <c r="F1024" s="539">
        <f>F1025+F1026</f>
        <v>7143599</v>
      </c>
    </row>
    <row r="1025" spans="1:6" ht="62.25" customHeight="1">
      <c r="A1025" s="530"/>
      <c r="B1025" s="540"/>
      <c r="C1025" s="541"/>
      <c r="D1025" s="649" t="s">
        <v>317</v>
      </c>
      <c r="E1025" s="599" t="s">
        <v>840</v>
      </c>
      <c r="F1025" s="553">
        <v>2275002</v>
      </c>
    </row>
    <row r="1026" spans="1:6" ht="56.25" customHeight="1">
      <c r="A1026" s="530"/>
      <c r="B1026" s="540"/>
      <c r="C1026" s="581"/>
      <c r="D1026" s="548" t="s">
        <v>466</v>
      </c>
      <c r="E1026" s="576" t="s">
        <v>727</v>
      </c>
      <c r="F1026" s="539">
        <v>4868597</v>
      </c>
    </row>
    <row r="1027" spans="1:6" ht="17.100000000000001" customHeight="1">
      <c r="A1027" s="530"/>
      <c r="B1027" s="540"/>
      <c r="C1027" s="541"/>
      <c r="D1027" s="1268"/>
      <c r="E1027" s="1270"/>
      <c r="F1027" s="1271"/>
    </row>
    <row r="1028" spans="1:6" ht="17.100000000000001" customHeight="1">
      <c r="A1028" s="530"/>
      <c r="B1028" s="540"/>
      <c r="C1028" s="541"/>
      <c r="D1028" s="1293" t="s">
        <v>787</v>
      </c>
      <c r="E1028" s="1294"/>
      <c r="F1028" s="539">
        <f>SUM(F1029:F1031)</f>
        <v>345948</v>
      </c>
    </row>
    <row r="1029" spans="1:6" ht="17.100000000000001" customHeight="1">
      <c r="A1029" s="530"/>
      <c r="B1029" s="540"/>
      <c r="C1029" s="541"/>
      <c r="D1029" s="537" t="s">
        <v>630</v>
      </c>
      <c r="E1029" s="538" t="s">
        <v>631</v>
      </c>
      <c r="F1029" s="539">
        <v>45948</v>
      </c>
    </row>
    <row r="1030" spans="1:6" ht="17.100000000000001" customHeight="1">
      <c r="A1030" s="530"/>
      <c r="B1030" s="540"/>
      <c r="C1030" s="541"/>
      <c r="D1030" s="537" t="s">
        <v>841</v>
      </c>
      <c r="E1030" s="538" t="s">
        <v>842</v>
      </c>
      <c r="F1030" s="539">
        <v>100000</v>
      </c>
    </row>
    <row r="1031" spans="1:6" ht="17.100000000000001" customHeight="1">
      <c r="A1031" s="530"/>
      <c r="B1031" s="540"/>
      <c r="C1031" s="541"/>
      <c r="D1031" s="537" t="s">
        <v>832</v>
      </c>
      <c r="E1031" s="538" t="s">
        <v>833</v>
      </c>
      <c r="F1031" s="539">
        <v>200000</v>
      </c>
    </row>
    <row r="1032" spans="1:6" ht="17.100000000000001" customHeight="1">
      <c r="A1032" s="530"/>
      <c r="B1032" s="540"/>
      <c r="C1032" s="541"/>
      <c r="D1032" s="1268"/>
      <c r="E1032" s="1270"/>
      <c r="F1032" s="1271"/>
    </row>
    <row r="1033" spans="1:6" ht="17.100000000000001" customHeight="1">
      <c r="A1033" s="530"/>
      <c r="B1033" s="540"/>
      <c r="C1033" s="541"/>
      <c r="D1033" s="1287" t="s">
        <v>647</v>
      </c>
      <c r="E1033" s="1291"/>
      <c r="F1033" s="539">
        <f>SUM(F1034:F1041)</f>
        <v>111727</v>
      </c>
    </row>
    <row r="1034" spans="1:6" ht="54.75" customHeight="1">
      <c r="A1034" s="530"/>
      <c r="B1034" s="540"/>
      <c r="C1034" s="541"/>
      <c r="D1034" s="537" t="s">
        <v>553</v>
      </c>
      <c r="E1034" s="538" t="s">
        <v>840</v>
      </c>
      <c r="F1034" s="539">
        <v>29409</v>
      </c>
    </row>
    <row r="1035" spans="1:6">
      <c r="A1035" s="530"/>
      <c r="B1035" s="1268"/>
      <c r="C1035" s="1269"/>
      <c r="D1035" s="537" t="s">
        <v>554</v>
      </c>
      <c r="E1035" s="538" t="s">
        <v>590</v>
      </c>
      <c r="F1035" s="539">
        <v>1891</v>
      </c>
    </row>
    <row r="1036" spans="1:6" ht="17.100000000000001" customHeight="1">
      <c r="A1036" s="530"/>
      <c r="B1036" s="1268"/>
      <c r="C1036" s="1269"/>
      <c r="D1036" s="537" t="s">
        <v>555</v>
      </c>
      <c r="E1036" s="538" t="s">
        <v>592</v>
      </c>
      <c r="F1036" s="539">
        <v>270</v>
      </c>
    </row>
    <row r="1037" spans="1:6" ht="17.100000000000001" customHeight="1">
      <c r="A1037" s="530"/>
      <c r="B1037" s="1268"/>
      <c r="C1037" s="1269"/>
      <c r="D1037" s="537" t="s">
        <v>556</v>
      </c>
      <c r="E1037" s="538" t="s">
        <v>594</v>
      </c>
      <c r="F1037" s="539">
        <v>11000</v>
      </c>
    </row>
    <row r="1038" spans="1:6">
      <c r="A1038" s="530"/>
      <c r="B1038" s="1268"/>
      <c r="C1038" s="1269"/>
      <c r="D1038" s="537" t="s">
        <v>557</v>
      </c>
      <c r="E1038" s="538" t="s">
        <v>599</v>
      </c>
      <c r="F1038" s="539">
        <v>9323</v>
      </c>
    </row>
    <row r="1039" spans="1:6">
      <c r="A1039" s="530"/>
      <c r="B1039" s="1268"/>
      <c r="C1039" s="1269"/>
      <c r="D1039" s="537" t="s">
        <v>558</v>
      </c>
      <c r="E1039" s="538" t="s">
        <v>608</v>
      </c>
      <c r="F1039" s="539">
        <v>800</v>
      </c>
    </row>
    <row r="1040" spans="1:6">
      <c r="A1040" s="530"/>
      <c r="B1040" s="1268"/>
      <c r="C1040" s="1269"/>
      <c r="D1040" s="537" t="s">
        <v>559</v>
      </c>
      <c r="E1040" s="538" t="s">
        <v>614</v>
      </c>
      <c r="F1040" s="539">
        <v>58364</v>
      </c>
    </row>
    <row r="1041" spans="1:7">
      <c r="A1041" s="530"/>
      <c r="B1041" s="1268"/>
      <c r="C1041" s="1269"/>
      <c r="D1041" s="537" t="s">
        <v>560</v>
      </c>
      <c r="E1041" s="538" t="s">
        <v>699</v>
      </c>
      <c r="F1041" s="539">
        <v>670</v>
      </c>
    </row>
    <row r="1042" spans="1:7" ht="17.100000000000001" customHeight="1">
      <c r="A1042" s="530"/>
      <c r="B1042" s="540"/>
      <c r="C1042" s="541"/>
      <c r="D1042" s="1268"/>
      <c r="E1042" s="1270"/>
      <c r="F1042" s="1271"/>
    </row>
    <row r="1043" spans="1:7" ht="17.100000000000001" customHeight="1">
      <c r="A1043" s="530"/>
      <c r="B1043" s="540"/>
      <c r="C1043" s="541"/>
      <c r="D1043" s="1318" t="s">
        <v>636</v>
      </c>
      <c r="E1043" s="1319"/>
      <c r="F1043" s="534">
        <f>F1044</f>
        <v>63000</v>
      </c>
    </row>
    <row r="1044" spans="1:7">
      <c r="A1044" s="530"/>
      <c r="B1044" s="540"/>
      <c r="C1044" s="541"/>
      <c r="D1044" s="1293" t="s">
        <v>637</v>
      </c>
      <c r="E1044" s="1294"/>
      <c r="F1044" s="539">
        <f>SUM(F1045:F1045)</f>
        <v>63000</v>
      </c>
      <c r="G1044" s="564"/>
    </row>
    <row r="1045" spans="1:7" ht="55.5" customHeight="1" thickBot="1">
      <c r="A1045" s="530"/>
      <c r="B1045" s="1268"/>
      <c r="C1045" s="1269"/>
      <c r="D1045" s="551" t="s">
        <v>326</v>
      </c>
      <c r="E1045" s="596" t="s">
        <v>677</v>
      </c>
      <c r="F1045" s="553">
        <v>63000</v>
      </c>
    </row>
    <row r="1046" spans="1:7" ht="17.100000000000001" customHeight="1" thickBot="1">
      <c r="A1046" s="526" t="s">
        <v>843</v>
      </c>
      <c r="B1046" s="1277"/>
      <c r="C1046" s="1278"/>
      <c r="D1046" s="527"/>
      <c r="E1046" s="528" t="s">
        <v>844</v>
      </c>
      <c r="F1046" s="529">
        <f>SUM(F1047,F1056)</f>
        <v>370000</v>
      </c>
    </row>
    <row r="1047" spans="1:7" ht="17.100000000000001" customHeight="1">
      <c r="A1047" s="650"/>
      <c r="B1047" s="1435" t="s">
        <v>845</v>
      </c>
      <c r="C1047" s="1436"/>
      <c r="D1047" s="651"/>
      <c r="E1047" s="652" t="s">
        <v>846</v>
      </c>
      <c r="F1047" s="653">
        <f>F1048</f>
        <v>220000</v>
      </c>
    </row>
    <row r="1048" spans="1:7" ht="17.100000000000001" customHeight="1">
      <c r="A1048" s="530"/>
      <c r="B1048" s="1281"/>
      <c r="C1048" s="1282"/>
      <c r="D1048" s="1285" t="s">
        <v>583</v>
      </c>
      <c r="E1048" s="1286"/>
      <c r="F1048" s="534">
        <f>F1049+F1054</f>
        <v>220000</v>
      </c>
    </row>
    <row r="1049" spans="1:7" ht="17.100000000000001" customHeight="1">
      <c r="A1049" s="530"/>
      <c r="B1049" s="1283"/>
      <c r="C1049" s="1284"/>
      <c r="D1049" s="1287" t="s">
        <v>584</v>
      </c>
      <c r="E1049" s="1291"/>
      <c r="F1049" s="539">
        <f>SUM(F1050)</f>
        <v>20000</v>
      </c>
    </row>
    <row r="1050" spans="1:7" ht="17.100000000000001" customHeight="1">
      <c r="A1050" s="530"/>
      <c r="B1050" s="1283"/>
      <c r="C1050" s="1284"/>
      <c r="D1050" s="1266" t="s">
        <v>595</v>
      </c>
      <c r="E1050" s="1267"/>
      <c r="F1050" s="539">
        <f>SUM(F1051:F1052)</f>
        <v>20000</v>
      </c>
    </row>
    <row r="1051" spans="1:7" ht="17.100000000000001" customHeight="1">
      <c r="A1051" s="530"/>
      <c r="B1051" s="1283"/>
      <c r="C1051" s="1284"/>
      <c r="D1051" s="557" t="s">
        <v>406</v>
      </c>
      <c r="E1051" s="567" t="s">
        <v>608</v>
      </c>
      <c r="F1051" s="539">
        <v>5000</v>
      </c>
    </row>
    <row r="1052" spans="1:7" ht="17.100000000000001" customHeight="1">
      <c r="A1052" s="530"/>
      <c r="B1052" s="1283"/>
      <c r="C1052" s="1284"/>
      <c r="D1052" s="557" t="s">
        <v>634</v>
      </c>
      <c r="E1052" s="567" t="s">
        <v>635</v>
      </c>
      <c r="F1052" s="539">
        <v>15000</v>
      </c>
    </row>
    <row r="1053" spans="1:7" ht="17.100000000000001" customHeight="1">
      <c r="A1053" s="530"/>
      <c r="B1053" s="1283"/>
      <c r="C1053" s="1284"/>
      <c r="D1053" s="654"/>
      <c r="E1053" s="655"/>
      <c r="F1053" s="534"/>
    </row>
    <row r="1054" spans="1:7" ht="17.100000000000001" customHeight="1">
      <c r="A1054" s="530"/>
      <c r="B1054" s="1283"/>
      <c r="C1054" s="1284"/>
      <c r="D1054" s="1293" t="s">
        <v>787</v>
      </c>
      <c r="E1054" s="1294"/>
      <c r="F1054" s="539">
        <f>F1055</f>
        <v>200000</v>
      </c>
    </row>
    <row r="1055" spans="1:7" ht="17.100000000000001" customHeight="1">
      <c r="A1055" s="530"/>
      <c r="B1055" s="1283"/>
      <c r="C1055" s="1312"/>
      <c r="D1055" s="603" t="s">
        <v>847</v>
      </c>
      <c r="E1055" s="538" t="s">
        <v>848</v>
      </c>
      <c r="F1055" s="539">
        <v>200000</v>
      </c>
    </row>
    <row r="1056" spans="1:7" ht="17.100000000000001" customHeight="1">
      <c r="A1056" s="530"/>
      <c r="B1056" s="1295" t="s">
        <v>849</v>
      </c>
      <c r="C1056" s="1296"/>
      <c r="D1056" s="542"/>
      <c r="E1056" s="543" t="s">
        <v>238</v>
      </c>
      <c r="F1056" s="544">
        <f>F1057</f>
        <v>150000</v>
      </c>
    </row>
    <row r="1057" spans="1:6" ht="17.100000000000001" customHeight="1">
      <c r="A1057" s="530"/>
      <c r="B1057" s="1281"/>
      <c r="C1057" s="1282"/>
      <c r="D1057" s="1285" t="s">
        <v>583</v>
      </c>
      <c r="E1057" s="1286"/>
      <c r="F1057" s="534">
        <f>F1058</f>
        <v>150000</v>
      </c>
    </row>
    <row r="1058" spans="1:6" ht="17.100000000000001" customHeight="1">
      <c r="A1058" s="530"/>
      <c r="B1058" s="1283"/>
      <c r="C1058" s="1284"/>
      <c r="D1058" s="1287" t="s">
        <v>584</v>
      </c>
      <c r="E1058" s="1291"/>
      <c r="F1058" s="539">
        <f>F1059</f>
        <v>150000</v>
      </c>
    </row>
    <row r="1059" spans="1:6" ht="17.100000000000001" customHeight="1">
      <c r="A1059" s="530"/>
      <c r="B1059" s="1283"/>
      <c r="C1059" s="1284"/>
      <c r="D1059" s="1266" t="s">
        <v>595</v>
      </c>
      <c r="E1059" s="1267"/>
      <c r="F1059" s="539">
        <f>F1060</f>
        <v>150000</v>
      </c>
    </row>
    <row r="1060" spans="1:6" ht="17.100000000000001" customHeight="1" thickBot="1">
      <c r="A1060" s="621"/>
      <c r="B1060" s="1433"/>
      <c r="C1060" s="1434"/>
      <c r="D1060" s="656" t="s">
        <v>406</v>
      </c>
      <c r="E1060" s="657" t="s">
        <v>608</v>
      </c>
      <c r="F1060" s="624">
        <v>150000</v>
      </c>
    </row>
    <row r="1061" spans="1:6" ht="17.100000000000001" customHeight="1" thickBot="1">
      <c r="A1061" s="526" t="s">
        <v>136</v>
      </c>
      <c r="B1061" s="1277"/>
      <c r="C1061" s="1278"/>
      <c r="D1061" s="527"/>
      <c r="E1061" s="528" t="s">
        <v>850</v>
      </c>
      <c r="F1061" s="529">
        <f>F1062+F1070+F1074+F1082+F1086+F1090+F1107+F1111+F1120+F1125+F1102</f>
        <v>18974546</v>
      </c>
    </row>
    <row r="1062" spans="1:6" ht="17.100000000000001" customHeight="1">
      <c r="A1062" s="625"/>
      <c r="B1062" s="1423" t="s">
        <v>851</v>
      </c>
      <c r="C1062" s="1424"/>
      <c r="D1062" s="658"/>
      <c r="E1062" s="532" t="s">
        <v>852</v>
      </c>
      <c r="F1062" s="533">
        <f>F1063+F1067</f>
        <v>5695360</v>
      </c>
    </row>
    <row r="1063" spans="1:6" ht="17.100000000000001" customHeight="1">
      <c r="A1063" s="625"/>
      <c r="B1063" s="1425"/>
      <c r="C1063" s="1426"/>
      <c r="D1063" s="1285" t="s">
        <v>583</v>
      </c>
      <c r="E1063" s="1286"/>
      <c r="F1063" s="659">
        <f>F1064</f>
        <v>135950</v>
      </c>
    </row>
    <row r="1064" spans="1:6" ht="17.100000000000001" customHeight="1">
      <c r="A1064" s="625"/>
      <c r="B1064" s="1427"/>
      <c r="C1064" s="1428"/>
      <c r="D1064" s="1429" t="s">
        <v>14</v>
      </c>
      <c r="E1064" s="1291"/>
      <c r="F1064" s="539">
        <f>F1065</f>
        <v>135950</v>
      </c>
    </row>
    <row r="1065" spans="1:6" ht="25.5">
      <c r="A1065" s="625"/>
      <c r="B1065" s="1427"/>
      <c r="C1065" s="1428"/>
      <c r="D1065" s="660" t="s">
        <v>853</v>
      </c>
      <c r="E1065" s="616" t="s">
        <v>854</v>
      </c>
      <c r="F1065" s="539">
        <v>135950</v>
      </c>
    </row>
    <row r="1066" spans="1:6" ht="17.100000000000001" customHeight="1">
      <c r="A1066" s="625"/>
      <c r="B1066" s="1427"/>
      <c r="C1066" s="1428"/>
      <c r="D1066" s="1427"/>
      <c r="E1066" s="1427"/>
      <c r="F1066" s="1430"/>
    </row>
    <row r="1067" spans="1:6" ht="17.100000000000001" customHeight="1">
      <c r="A1067" s="625"/>
      <c r="B1067" s="1427"/>
      <c r="C1067" s="1428"/>
      <c r="D1067" s="1431" t="s">
        <v>636</v>
      </c>
      <c r="E1067" s="1432"/>
      <c r="F1067" s="534">
        <f>F1068</f>
        <v>5559410</v>
      </c>
    </row>
    <row r="1068" spans="1:6" ht="17.100000000000001" customHeight="1">
      <c r="A1068" s="625"/>
      <c r="B1068" s="1427"/>
      <c r="C1068" s="1428"/>
      <c r="D1068" s="1404" t="s">
        <v>637</v>
      </c>
      <c r="E1068" s="1294"/>
      <c r="F1068" s="539">
        <f>SUM(F1069)</f>
        <v>5559410</v>
      </c>
    </row>
    <row r="1069" spans="1:6" ht="37.5" customHeight="1">
      <c r="A1069" s="625"/>
      <c r="B1069" s="661"/>
      <c r="C1069" s="662"/>
      <c r="D1069" s="626" t="s">
        <v>855</v>
      </c>
      <c r="E1069" s="538" t="s">
        <v>856</v>
      </c>
      <c r="F1069" s="539">
        <v>5559410</v>
      </c>
    </row>
    <row r="1070" spans="1:6" ht="19.5" customHeight="1">
      <c r="A1070" s="625"/>
      <c r="B1070" s="1387" t="s">
        <v>857</v>
      </c>
      <c r="C1070" s="1446"/>
      <c r="D1070" s="663"/>
      <c r="E1070" s="664" t="s">
        <v>858</v>
      </c>
      <c r="F1070" s="579">
        <f>F1071</f>
        <v>8630000</v>
      </c>
    </row>
    <row r="1071" spans="1:6" ht="17.100000000000001" customHeight="1">
      <c r="A1071" s="530"/>
      <c r="B1071" s="1281"/>
      <c r="C1071" s="1282"/>
      <c r="D1071" s="1318" t="s">
        <v>636</v>
      </c>
      <c r="E1071" s="1319"/>
      <c r="F1071" s="534">
        <f>F1072</f>
        <v>8630000</v>
      </c>
    </row>
    <row r="1072" spans="1:6" ht="17.100000000000001" customHeight="1">
      <c r="A1072" s="530"/>
      <c r="B1072" s="1283"/>
      <c r="C1072" s="1284"/>
      <c r="D1072" s="1293" t="s">
        <v>859</v>
      </c>
      <c r="E1072" s="1294"/>
      <c r="F1072" s="539">
        <f>F1073</f>
        <v>8630000</v>
      </c>
    </row>
    <row r="1073" spans="1:6" ht="39.75" customHeight="1">
      <c r="A1073" s="530"/>
      <c r="B1073" s="1298"/>
      <c r="C1073" s="1299"/>
      <c r="D1073" s="537" t="s">
        <v>860</v>
      </c>
      <c r="E1073" s="538" t="s">
        <v>861</v>
      </c>
      <c r="F1073" s="539">
        <v>8630000</v>
      </c>
    </row>
    <row r="1074" spans="1:6" ht="15" customHeight="1">
      <c r="A1074" s="530"/>
      <c r="B1074" s="1447" t="s">
        <v>862</v>
      </c>
      <c r="C1074" s="1448"/>
      <c r="D1074" s="665"/>
      <c r="E1074" s="666" t="s">
        <v>863</v>
      </c>
      <c r="F1074" s="579">
        <f>F1079+F1075</f>
        <v>391796</v>
      </c>
    </row>
    <row r="1075" spans="1:6" ht="15">
      <c r="A1075" s="530"/>
      <c r="B1075" s="1281"/>
      <c r="C1075" s="1282"/>
      <c r="D1075" s="1356" t="s">
        <v>583</v>
      </c>
      <c r="E1075" s="1411"/>
      <c r="F1075" s="588">
        <f>F1076</f>
        <v>15000</v>
      </c>
    </row>
    <row r="1076" spans="1:6" ht="15">
      <c r="A1076" s="530"/>
      <c r="B1076" s="1283"/>
      <c r="C1076" s="1284"/>
      <c r="D1076" s="1358" t="s">
        <v>14</v>
      </c>
      <c r="E1076" s="1357"/>
      <c r="F1076" s="588">
        <f>F1077</f>
        <v>15000</v>
      </c>
    </row>
    <row r="1077" spans="1:6" ht="28.5" customHeight="1">
      <c r="A1077" s="530"/>
      <c r="B1077" s="1283"/>
      <c r="C1077" s="1284"/>
      <c r="D1077" s="667" t="s">
        <v>853</v>
      </c>
      <c r="E1077" s="668" t="s">
        <v>854</v>
      </c>
      <c r="F1077" s="588">
        <v>15000</v>
      </c>
    </row>
    <row r="1078" spans="1:6" ht="15">
      <c r="A1078" s="530"/>
      <c r="B1078" s="1283"/>
      <c r="C1078" s="1284"/>
      <c r="D1078" s="1449"/>
      <c r="E1078" s="1315"/>
      <c r="F1078" s="1316"/>
    </row>
    <row r="1079" spans="1:6" ht="12.75" customHeight="1">
      <c r="A1079" s="530"/>
      <c r="B1079" s="1283"/>
      <c r="C1079" s="1284"/>
      <c r="D1079" s="1318" t="s">
        <v>636</v>
      </c>
      <c r="E1079" s="1319"/>
      <c r="F1079" s="534">
        <f>F1080</f>
        <v>376796</v>
      </c>
    </row>
    <row r="1080" spans="1:6" ht="12.75" customHeight="1">
      <c r="A1080" s="530"/>
      <c r="B1080" s="1283"/>
      <c r="C1080" s="1284"/>
      <c r="D1080" s="1293" t="s">
        <v>637</v>
      </c>
      <c r="E1080" s="1294"/>
      <c r="F1080" s="539">
        <f>F1081</f>
        <v>376796</v>
      </c>
    </row>
    <row r="1081" spans="1:6" ht="38.25">
      <c r="A1081" s="530"/>
      <c r="B1081" s="1298"/>
      <c r="C1081" s="1299"/>
      <c r="D1081" s="537" t="s">
        <v>855</v>
      </c>
      <c r="E1081" s="538" t="s">
        <v>856</v>
      </c>
      <c r="F1081" s="539">
        <v>376796</v>
      </c>
    </row>
    <row r="1082" spans="1:6" ht="17.100000000000001" customHeight="1">
      <c r="A1082" s="625"/>
      <c r="B1082" s="1438" t="s">
        <v>864</v>
      </c>
      <c r="C1082" s="1439"/>
      <c r="D1082" s="542"/>
      <c r="E1082" s="543" t="s">
        <v>865</v>
      </c>
      <c r="F1082" s="544">
        <f>SUM(F1083)</f>
        <v>162840</v>
      </c>
    </row>
    <row r="1083" spans="1:6">
      <c r="A1083" s="625"/>
      <c r="B1083" s="1440"/>
      <c r="C1083" s="1441"/>
      <c r="D1083" s="1444" t="s">
        <v>636</v>
      </c>
      <c r="E1083" s="1445"/>
      <c r="F1083" s="566">
        <f>SUM(F1084)</f>
        <v>162840</v>
      </c>
    </row>
    <row r="1084" spans="1:6">
      <c r="A1084" s="625"/>
      <c r="B1084" s="1398"/>
      <c r="C1084" s="1399"/>
      <c r="D1084" s="1404" t="s">
        <v>637</v>
      </c>
      <c r="E1084" s="1294"/>
      <c r="F1084" s="539">
        <f>F1085</f>
        <v>162840</v>
      </c>
    </row>
    <row r="1085" spans="1:6" ht="38.25">
      <c r="A1085" s="625"/>
      <c r="B1085" s="1442"/>
      <c r="C1085" s="1443"/>
      <c r="D1085" s="669" t="s">
        <v>855</v>
      </c>
      <c r="E1085" s="538" t="s">
        <v>856</v>
      </c>
      <c r="F1085" s="539">
        <v>162840</v>
      </c>
    </row>
    <row r="1086" spans="1:6">
      <c r="A1086" s="625"/>
      <c r="B1086" s="1392" t="s">
        <v>255</v>
      </c>
      <c r="C1086" s="1296"/>
      <c r="D1086" s="542"/>
      <c r="E1086" s="543" t="s">
        <v>256</v>
      </c>
      <c r="F1086" s="544">
        <f>F1087</f>
        <v>117000</v>
      </c>
    </row>
    <row r="1087" spans="1:6">
      <c r="A1087" s="625"/>
      <c r="B1087" s="1311"/>
      <c r="C1087" s="1282"/>
      <c r="D1087" s="1318" t="s">
        <v>636</v>
      </c>
      <c r="E1087" s="1319"/>
      <c r="F1087" s="534">
        <f>F1088</f>
        <v>117000</v>
      </c>
    </row>
    <row r="1088" spans="1:6">
      <c r="A1088" s="625"/>
      <c r="B1088" s="1312"/>
      <c r="C1088" s="1284"/>
      <c r="D1088" s="1293" t="s">
        <v>705</v>
      </c>
      <c r="E1088" s="1294"/>
      <c r="F1088" s="539">
        <f>F1089</f>
        <v>117000</v>
      </c>
    </row>
    <row r="1089" spans="1:6" ht="38.25">
      <c r="A1089" s="625"/>
      <c r="B1089" s="1437"/>
      <c r="C1089" s="1299"/>
      <c r="D1089" s="537" t="s">
        <v>855</v>
      </c>
      <c r="E1089" s="538" t="s">
        <v>856</v>
      </c>
      <c r="F1089" s="539">
        <v>117000</v>
      </c>
    </row>
    <row r="1090" spans="1:6" ht="17.100000000000001" customHeight="1">
      <c r="A1090" s="625"/>
      <c r="B1090" s="1392" t="s">
        <v>866</v>
      </c>
      <c r="C1090" s="1296"/>
      <c r="D1090" s="542"/>
      <c r="E1090" s="543" t="s">
        <v>867</v>
      </c>
      <c r="F1090" s="544">
        <f>SUM(F1091,F1099)</f>
        <v>2284150</v>
      </c>
    </row>
    <row r="1091" spans="1:6" ht="17.100000000000001" customHeight="1">
      <c r="A1091" s="530"/>
      <c r="B1091" s="540"/>
      <c r="C1091" s="541"/>
      <c r="D1091" s="1285" t="s">
        <v>583</v>
      </c>
      <c r="E1091" s="1286"/>
      <c r="F1091" s="534">
        <f>F1092+F1096</f>
        <v>2266950</v>
      </c>
    </row>
    <row r="1092" spans="1:6" ht="17.100000000000001" customHeight="1">
      <c r="A1092" s="530"/>
      <c r="B1092" s="540"/>
      <c r="C1092" s="541"/>
      <c r="D1092" s="1287" t="s">
        <v>584</v>
      </c>
      <c r="E1092" s="1291"/>
      <c r="F1092" s="539">
        <f>F1093</f>
        <v>1195000</v>
      </c>
    </row>
    <row r="1093" spans="1:6" ht="17.100000000000001" customHeight="1">
      <c r="A1093" s="530"/>
      <c r="B1093" s="1268"/>
      <c r="C1093" s="1269"/>
      <c r="D1093" s="1266" t="s">
        <v>595</v>
      </c>
      <c r="E1093" s="1267"/>
      <c r="F1093" s="539">
        <f>F1094</f>
        <v>1195000</v>
      </c>
    </row>
    <row r="1094" spans="1:6" ht="17.100000000000001" customHeight="1">
      <c r="A1094" s="530"/>
      <c r="B1094" s="1268"/>
      <c r="C1094" s="1269"/>
      <c r="D1094" s="537" t="s">
        <v>606</v>
      </c>
      <c r="E1094" s="538" t="s">
        <v>607</v>
      </c>
      <c r="F1094" s="539">
        <v>1195000</v>
      </c>
    </row>
    <row r="1095" spans="1:6" ht="17.100000000000001" customHeight="1">
      <c r="A1095" s="530"/>
      <c r="B1095" s="1268"/>
      <c r="C1095" s="1269"/>
      <c r="D1095" s="1268"/>
      <c r="E1095" s="1270"/>
      <c r="F1095" s="1271"/>
    </row>
    <row r="1096" spans="1:6" ht="17.100000000000001" customHeight="1">
      <c r="A1096" s="530"/>
      <c r="B1096" s="1268"/>
      <c r="C1096" s="1269"/>
      <c r="D1096" s="1293" t="s">
        <v>643</v>
      </c>
      <c r="E1096" s="1294"/>
      <c r="F1096" s="539">
        <f>F1097</f>
        <v>1071950</v>
      </c>
    </row>
    <row r="1097" spans="1:6" ht="36" customHeight="1">
      <c r="A1097" s="530"/>
      <c r="B1097" s="1268"/>
      <c r="C1097" s="1269"/>
      <c r="D1097" s="537" t="s">
        <v>853</v>
      </c>
      <c r="E1097" s="538" t="s">
        <v>854</v>
      </c>
      <c r="F1097" s="539">
        <v>1071950</v>
      </c>
    </row>
    <row r="1098" spans="1:6">
      <c r="A1098" s="530"/>
      <c r="B1098" s="540"/>
      <c r="C1098" s="541"/>
      <c r="D1098" s="1324"/>
      <c r="E1098" s="1452"/>
      <c r="F1098" s="539"/>
    </row>
    <row r="1099" spans="1:6">
      <c r="A1099" s="530"/>
      <c r="B1099" s="540"/>
      <c r="C1099" s="541"/>
      <c r="D1099" s="1318" t="s">
        <v>636</v>
      </c>
      <c r="E1099" s="1319"/>
      <c r="F1099" s="534">
        <f>F1100</f>
        <v>17200</v>
      </c>
    </row>
    <row r="1100" spans="1:6">
      <c r="A1100" s="530"/>
      <c r="B1100" s="540"/>
      <c r="C1100" s="541"/>
      <c r="D1100" s="1293" t="s">
        <v>705</v>
      </c>
      <c r="E1100" s="1294"/>
      <c r="F1100" s="539">
        <f>F1101</f>
        <v>17200</v>
      </c>
    </row>
    <row r="1101" spans="1:6" ht="38.25">
      <c r="A1101" s="530"/>
      <c r="B1101" s="540"/>
      <c r="C1101" s="541"/>
      <c r="D1101" s="537" t="s">
        <v>855</v>
      </c>
      <c r="E1101" s="538" t="s">
        <v>856</v>
      </c>
      <c r="F1101" s="539">
        <v>17200</v>
      </c>
    </row>
    <row r="1102" spans="1:6" ht="19.5" customHeight="1">
      <c r="A1102" s="530"/>
      <c r="B1102" s="1295" t="s">
        <v>868</v>
      </c>
      <c r="C1102" s="1296"/>
      <c r="D1102" s="670"/>
      <c r="E1102" s="543" t="s">
        <v>869</v>
      </c>
      <c r="F1102" s="544">
        <f>F1103</f>
        <v>80000</v>
      </c>
    </row>
    <row r="1103" spans="1:6" ht="19.5" customHeight="1">
      <c r="A1103" s="530"/>
      <c r="B1103" s="540"/>
      <c r="C1103" s="671"/>
      <c r="D1103" s="1285" t="s">
        <v>583</v>
      </c>
      <c r="E1103" s="1286"/>
      <c r="F1103" s="587">
        <f>F1104</f>
        <v>80000</v>
      </c>
    </row>
    <row r="1104" spans="1:6" ht="19.5" customHeight="1">
      <c r="A1104" s="530"/>
      <c r="B1104" s="540"/>
      <c r="C1104" s="671"/>
      <c r="D1104" s="1358" t="s">
        <v>584</v>
      </c>
      <c r="E1104" s="1411"/>
      <c r="F1104" s="588">
        <f>F1105</f>
        <v>80000</v>
      </c>
    </row>
    <row r="1105" spans="1:6" ht="19.5" customHeight="1">
      <c r="A1105" s="530"/>
      <c r="B1105" s="540"/>
      <c r="C1105" s="671"/>
      <c r="D1105" s="1450" t="s">
        <v>595</v>
      </c>
      <c r="E1105" s="1451"/>
      <c r="F1105" s="588">
        <f>F1106</f>
        <v>80000</v>
      </c>
    </row>
    <row r="1106" spans="1:6" ht="19.5" customHeight="1">
      <c r="A1106" s="530"/>
      <c r="B1106" s="540"/>
      <c r="C1106" s="671"/>
      <c r="D1106" s="667" t="s">
        <v>406</v>
      </c>
      <c r="E1106" s="672" t="s">
        <v>608</v>
      </c>
      <c r="F1106" s="588">
        <v>80000</v>
      </c>
    </row>
    <row r="1107" spans="1:6" ht="17.100000000000001" customHeight="1">
      <c r="A1107" s="530"/>
      <c r="B1107" s="1295" t="s">
        <v>137</v>
      </c>
      <c r="C1107" s="1296"/>
      <c r="D1107" s="542"/>
      <c r="E1107" s="543" t="s">
        <v>870</v>
      </c>
      <c r="F1107" s="544">
        <f>F1108</f>
        <v>80000</v>
      </c>
    </row>
    <row r="1108" spans="1:6" ht="17.100000000000001" customHeight="1">
      <c r="A1108" s="530"/>
      <c r="B1108" s="1281"/>
      <c r="C1108" s="1282"/>
      <c r="D1108" s="1318" t="s">
        <v>583</v>
      </c>
      <c r="E1108" s="1319"/>
      <c r="F1108" s="534">
        <f>F1109</f>
        <v>80000</v>
      </c>
    </row>
    <row r="1109" spans="1:6" ht="17.100000000000001" customHeight="1">
      <c r="A1109" s="530"/>
      <c r="B1109" s="1283"/>
      <c r="C1109" s="1284"/>
      <c r="D1109" s="1293" t="s">
        <v>643</v>
      </c>
      <c r="E1109" s="1294"/>
      <c r="F1109" s="539">
        <f>F1110</f>
        <v>80000</v>
      </c>
    </row>
    <row r="1110" spans="1:6" ht="50.25" customHeight="1">
      <c r="A1110" s="530"/>
      <c r="B1110" s="1298"/>
      <c r="C1110" s="1299"/>
      <c r="D1110" s="537" t="s">
        <v>665</v>
      </c>
      <c r="E1110" s="538" t="s">
        <v>666</v>
      </c>
      <c r="F1110" s="539">
        <v>80000</v>
      </c>
    </row>
    <row r="1111" spans="1:6" ht="17.100000000000001" customHeight="1">
      <c r="A1111" s="530"/>
      <c r="B1111" s="1295" t="s">
        <v>138</v>
      </c>
      <c r="C1111" s="1296"/>
      <c r="D1111" s="542"/>
      <c r="E1111" s="543" t="s">
        <v>871</v>
      </c>
      <c r="F1111" s="544">
        <f>SUM(F1112)</f>
        <v>416900</v>
      </c>
    </row>
    <row r="1112" spans="1:6" ht="17.100000000000001" customHeight="1">
      <c r="A1112" s="530"/>
      <c r="B1112" s="540"/>
      <c r="C1112" s="541"/>
      <c r="D1112" s="1285" t="s">
        <v>583</v>
      </c>
      <c r="E1112" s="1286"/>
      <c r="F1112" s="534">
        <f>F1113+F1118</f>
        <v>416900</v>
      </c>
    </row>
    <row r="1113" spans="1:6" ht="17.100000000000001" customHeight="1">
      <c r="A1113" s="530"/>
      <c r="B1113" s="540"/>
      <c r="C1113" s="541"/>
      <c r="D1113" s="1287" t="s">
        <v>584</v>
      </c>
      <c r="E1113" s="1291"/>
      <c r="F1113" s="539">
        <f>F1114</f>
        <v>20000</v>
      </c>
    </row>
    <row r="1114" spans="1:6" ht="17.100000000000001" customHeight="1">
      <c r="A1114" s="530"/>
      <c r="B1114" s="540"/>
      <c r="C1114" s="541"/>
      <c r="D1114" s="1266" t="s">
        <v>595</v>
      </c>
      <c r="E1114" s="1267"/>
      <c r="F1114" s="539">
        <f>SUM(F1115:F1116)</f>
        <v>20000</v>
      </c>
    </row>
    <row r="1115" spans="1:6" ht="17.100000000000001" customHeight="1">
      <c r="A1115" s="530"/>
      <c r="B1115" s="1268"/>
      <c r="C1115" s="1269"/>
      <c r="D1115" s="537" t="s">
        <v>661</v>
      </c>
      <c r="E1115" s="538" t="s">
        <v>648</v>
      </c>
      <c r="F1115" s="539">
        <v>18000</v>
      </c>
    </row>
    <row r="1116" spans="1:6" ht="17.100000000000001" customHeight="1">
      <c r="A1116" s="530"/>
      <c r="B1116" s="540"/>
      <c r="C1116" s="541"/>
      <c r="D1116" s="537" t="s">
        <v>598</v>
      </c>
      <c r="E1116" s="538" t="s">
        <v>599</v>
      </c>
      <c r="F1116" s="539">
        <v>2000</v>
      </c>
    </row>
    <row r="1117" spans="1:6" ht="17.100000000000001" customHeight="1">
      <c r="A1117" s="530"/>
      <c r="B1117" s="540"/>
      <c r="C1117" s="541"/>
      <c r="D1117" s="1268"/>
      <c r="E1117" s="1270"/>
      <c r="F1117" s="1271"/>
    </row>
    <row r="1118" spans="1:6" ht="17.100000000000001" customHeight="1">
      <c r="A1118" s="530"/>
      <c r="B1118" s="540"/>
      <c r="C1118" s="541"/>
      <c r="D1118" s="1293" t="s">
        <v>643</v>
      </c>
      <c r="E1118" s="1294"/>
      <c r="F1118" s="539">
        <f>SUM(F1119:F1119)</f>
        <v>396900</v>
      </c>
    </row>
    <row r="1119" spans="1:6" ht="39" customHeight="1">
      <c r="A1119" s="530"/>
      <c r="B1119" s="540"/>
      <c r="C1119" s="541"/>
      <c r="D1119" s="537" t="s">
        <v>665</v>
      </c>
      <c r="E1119" s="538" t="s">
        <v>666</v>
      </c>
      <c r="F1119" s="539">
        <v>396900</v>
      </c>
    </row>
    <row r="1120" spans="1:6" ht="27.75" customHeight="1">
      <c r="A1120" s="530"/>
      <c r="B1120" s="1295" t="s">
        <v>257</v>
      </c>
      <c r="C1120" s="1296"/>
      <c r="D1120" s="542"/>
      <c r="E1120" s="543" t="s">
        <v>280</v>
      </c>
      <c r="F1120" s="544">
        <f>F1121</f>
        <v>24000</v>
      </c>
    </row>
    <row r="1121" spans="1:6" ht="17.100000000000001" customHeight="1">
      <c r="A1121" s="530"/>
      <c r="B1121" s="1281"/>
      <c r="C1121" s="1282"/>
      <c r="D1121" s="1285" t="s">
        <v>583</v>
      </c>
      <c r="E1121" s="1286"/>
      <c r="F1121" s="534">
        <f>F1122</f>
        <v>24000</v>
      </c>
    </row>
    <row r="1122" spans="1:6" ht="17.100000000000001" customHeight="1">
      <c r="A1122" s="530"/>
      <c r="B1122" s="1283"/>
      <c r="C1122" s="1284"/>
      <c r="D1122" s="1287" t="s">
        <v>584</v>
      </c>
      <c r="E1122" s="1291"/>
      <c r="F1122" s="539">
        <f>F1123</f>
        <v>24000</v>
      </c>
    </row>
    <row r="1123" spans="1:6" ht="17.100000000000001" customHeight="1">
      <c r="A1123" s="530"/>
      <c r="B1123" s="1283"/>
      <c r="C1123" s="1284"/>
      <c r="D1123" s="1266" t="s">
        <v>595</v>
      </c>
      <c r="E1123" s="1267"/>
      <c r="F1123" s="539">
        <f>F1124</f>
        <v>24000</v>
      </c>
    </row>
    <row r="1124" spans="1:6" ht="17.100000000000001" customHeight="1">
      <c r="A1124" s="530"/>
      <c r="B1124" s="1298"/>
      <c r="C1124" s="1299"/>
      <c r="D1124" s="537" t="s">
        <v>872</v>
      </c>
      <c r="E1124" s="538" t="s">
        <v>873</v>
      </c>
      <c r="F1124" s="539">
        <v>24000</v>
      </c>
    </row>
    <row r="1125" spans="1:6" ht="17.100000000000001" customHeight="1">
      <c r="A1125" s="530"/>
      <c r="B1125" s="1295" t="s">
        <v>259</v>
      </c>
      <c r="C1125" s="1296"/>
      <c r="D1125" s="542"/>
      <c r="E1125" s="543" t="s">
        <v>238</v>
      </c>
      <c r="F1125" s="544">
        <f>SUM(F1139,F1126)</f>
        <v>1092500</v>
      </c>
    </row>
    <row r="1126" spans="1:6" ht="17.100000000000001" customHeight="1">
      <c r="A1126" s="530"/>
      <c r="B1126" s="545"/>
      <c r="C1126" s="546"/>
      <c r="D1126" s="1285" t="s">
        <v>583</v>
      </c>
      <c r="E1126" s="1286"/>
      <c r="F1126" s="534">
        <f>F1127+F1135</f>
        <v>992500</v>
      </c>
    </row>
    <row r="1127" spans="1:6" ht="17.100000000000001" customHeight="1">
      <c r="A1127" s="530"/>
      <c r="B1127" s="540"/>
      <c r="C1127" s="541"/>
      <c r="D1127" s="1287" t="s">
        <v>584</v>
      </c>
      <c r="E1127" s="1291"/>
      <c r="F1127" s="539">
        <f>F1128+F1131</f>
        <v>342500</v>
      </c>
    </row>
    <row r="1128" spans="1:6" ht="17.100000000000001" customHeight="1">
      <c r="A1128" s="530"/>
      <c r="B1128" s="540"/>
      <c r="C1128" s="541"/>
      <c r="D1128" s="1289" t="s">
        <v>585</v>
      </c>
      <c r="E1128" s="1292"/>
      <c r="F1128" s="539">
        <f>SUM(F1129:F1129)</f>
        <v>39700</v>
      </c>
    </row>
    <row r="1129" spans="1:6" ht="17.100000000000001" customHeight="1">
      <c r="A1129" s="530"/>
      <c r="B1129" s="540"/>
      <c r="C1129" s="541"/>
      <c r="D1129" s="537" t="s">
        <v>593</v>
      </c>
      <c r="E1129" s="538" t="s">
        <v>594</v>
      </c>
      <c r="F1129" s="594">
        <v>39700</v>
      </c>
    </row>
    <row r="1130" spans="1:6" ht="17.100000000000001" customHeight="1">
      <c r="A1130" s="530"/>
      <c r="B1130" s="540"/>
      <c r="C1130" s="541"/>
      <c r="D1130" s="1268"/>
      <c r="E1130" s="1270"/>
      <c r="F1130" s="1271"/>
    </row>
    <row r="1131" spans="1:6" ht="17.100000000000001" customHeight="1">
      <c r="A1131" s="530"/>
      <c r="B1131" s="540"/>
      <c r="C1131" s="541"/>
      <c r="D1131" s="1266" t="s">
        <v>595</v>
      </c>
      <c r="E1131" s="1267"/>
      <c r="F1131" s="539">
        <f>SUM(F1132:F1133)</f>
        <v>302800</v>
      </c>
    </row>
    <row r="1132" spans="1:6" ht="17.100000000000001" customHeight="1">
      <c r="A1132" s="530"/>
      <c r="B1132" s="1268"/>
      <c r="C1132" s="1269"/>
      <c r="D1132" s="537" t="s">
        <v>406</v>
      </c>
      <c r="E1132" s="538" t="s">
        <v>608</v>
      </c>
      <c r="F1132" s="539">
        <v>2800</v>
      </c>
    </row>
    <row r="1133" spans="1:6" ht="17.100000000000001" customHeight="1">
      <c r="A1133" s="1063"/>
      <c r="B1133" s="1061"/>
      <c r="C1133" s="1062"/>
      <c r="D1133" s="1069" t="s">
        <v>664</v>
      </c>
      <c r="E1133" s="1064" t="s">
        <v>649</v>
      </c>
      <c r="F1133" s="1070">
        <v>300000</v>
      </c>
    </row>
    <row r="1134" spans="1:6" ht="17.100000000000001" customHeight="1">
      <c r="A1134" s="530"/>
      <c r="B1134" s="545"/>
      <c r="C1134" s="546"/>
      <c r="D1134" s="557"/>
      <c r="E1134" s="673"/>
      <c r="F1134" s="674"/>
    </row>
    <row r="1135" spans="1:6" ht="16.5" customHeight="1">
      <c r="A1135" s="530"/>
      <c r="B1135" s="545"/>
      <c r="C1135" s="546"/>
      <c r="D1135" s="1287" t="s">
        <v>643</v>
      </c>
      <c r="E1135" s="1291"/>
      <c r="F1135" s="539">
        <f>F1136+F1137</f>
        <v>650000</v>
      </c>
    </row>
    <row r="1136" spans="1:6" ht="60.75" customHeight="1">
      <c r="A1136" s="530"/>
      <c r="B1136" s="545"/>
      <c r="C1136" s="546"/>
      <c r="D1136" s="537" t="s">
        <v>317</v>
      </c>
      <c r="E1136" s="538" t="s">
        <v>673</v>
      </c>
      <c r="F1136" s="539">
        <v>325000</v>
      </c>
    </row>
    <row r="1137" spans="1:6" ht="51">
      <c r="A1137" s="530"/>
      <c r="B1137" s="540"/>
      <c r="C1137" s="541"/>
      <c r="D1137" s="537" t="s">
        <v>466</v>
      </c>
      <c r="E1137" s="576" t="s">
        <v>727</v>
      </c>
      <c r="F1137" s="539">
        <v>325000</v>
      </c>
    </row>
    <row r="1138" spans="1:6">
      <c r="A1138" s="530"/>
      <c r="B1138" s="540"/>
      <c r="C1138" s="541"/>
      <c r="D1138" s="1324"/>
      <c r="E1138" s="1452"/>
      <c r="F1138" s="539"/>
    </row>
    <row r="1139" spans="1:6" ht="12.75" customHeight="1">
      <c r="A1139" s="530"/>
      <c r="B1139" s="540"/>
      <c r="C1139" s="541"/>
      <c r="D1139" s="1318" t="s">
        <v>636</v>
      </c>
      <c r="E1139" s="1319"/>
      <c r="F1139" s="534">
        <f>F1140</f>
        <v>100000</v>
      </c>
    </row>
    <row r="1140" spans="1:6" ht="12.75" customHeight="1">
      <c r="A1140" s="530"/>
      <c r="B1140" s="540"/>
      <c r="C1140" s="541"/>
      <c r="D1140" s="1293" t="s">
        <v>702</v>
      </c>
      <c r="E1140" s="1294"/>
      <c r="F1140" s="539">
        <f>F1141</f>
        <v>100000</v>
      </c>
    </row>
    <row r="1141" spans="1:6" ht="54.75" customHeight="1" thickBot="1">
      <c r="A1141" s="530"/>
      <c r="B1141" s="540"/>
      <c r="C1141" s="541"/>
      <c r="D1141" s="551" t="s">
        <v>326</v>
      </c>
      <c r="E1141" s="596" t="s">
        <v>677</v>
      </c>
      <c r="F1141" s="553">
        <v>100000</v>
      </c>
    </row>
    <row r="1142" spans="1:6" ht="17.100000000000001" customHeight="1" thickBot="1">
      <c r="A1142" s="526" t="s">
        <v>139</v>
      </c>
      <c r="B1142" s="1277"/>
      <c r="C1142" s="1278"/>
      <c r="D1142" s="527"/>
      <c r="E1142" s="528" t="s">
        <v>874</v>
      </c>
      <c r="F1142" s="529">
        <f>SUM(F1143,F1147,F1189)</f>
        <v>19944758</v>
      </c>
    </row>
    <row r="1143" spans="1:6" ht="17.100000000000001" customHeight="1">
      <c r="A1143" s="675"/>
      <c r="B1143" s="1453" t="s">
        <v>140</v>
      </c>
      <c r="C1143" s="1454"/>
      <c r="D1143" s="676"/>
      <c r="E1143" s="677" t="s">
        <v>875</v>
      </c>
      <c r="F1143" s="533">
        <f>F1144</f>
        <v>180000</v>
      </c>
    </row>
    <row r="1144" spans="1:6" ht="17.100000000000001" customHeight="1">
      <c r="A1144" s="675"/>
      <c r="B1144" s="1455"/>
      <c r="C1144" s="1456"/>
      <c r="D1144" s="1285" t="s">
        <v>583</v>
      </c>
      <c r="E1144" s="1286"/>
      <c r="F1144" s="534">
        <f>F1145</f>
        <v>180000</v>
      </c>
    </row>
    <row r="1145" spans="1:6" ht="17.100000000000001" customHeight="1">
      <c r="A1145" s="675"/>
      <c r="B1145" s="1457"/>
      <c r="C1145" s="1458"/>
      <c r="D1145" s="1287" t="s">
        <v>643</v>
      </c>
      <c r="E1145" s="1291"/>
      <c r="F1145" s="539">
        <f>SUM(F1146:F1146)</f>
        <v>180000</v>
      </c>
    </row>
    <row r="1146" spans="1:6" ht="38.25">
      <c r="A1146" s="675"/>
      <c r="B1146" s="1457"/>
      <c r="C1146" s="1458"/>
      <c r="D1146" s="678" t="s">
        <v>665</v>
      </c>
      <c r="E1146" s="679" t="s">
        <v>876</v>
      </c>
      <c r="F1146" s="539">
        <v>180000</v>
      </c>
    </row>
    <row r="1147" spans="1:6" ht="17.100000000000001" customHeight="1">
      <c r="A1147" s="530"/>
      <c r="B1147" s="1295" t="s">
        <v>141</v>
      </c>
      <c r="C1147" s="1296"/>
      <c r="D1147" s="542"/>
      <c r="E1147" s="543" t="s">
        <v>877</v>
      </c>
      <c r="F1147" s="544">
        <f>SUM(F1148)</f>
        <v>2809911</v>
      </c>
    </row>
    <row r="1148" spans="1:6" ht="17.100000000000001" customHeight="1">
      <c r="A1148" s="530"/>
      <c r="B1148" s="540"/>
      <c r="C1148" s="541"/>
      <c r="D1148" s="1285" t="s">
        <v>583</v>
      </c>
      <c r="E1148" s="1286"/>
      <c r="F1148" s="534">
        <f>F1149+F1176+F1179</f>
        <v>2809911</v>
      </c>
    </row>
    <row r="1149" spans="1:6" ht="17.100000000000001" customHeight="1">
      <c r="A1149" s="530"/>
      <c r="B1149" s="540"/>
      <c r="C1149" s="541"/>
      <c r="D1149" s="1287" t="s">
        <v>584</v>
      </c>
      <c r="E1149" s="1291"/>
      <c r="F1149" s="539">
        <f>F1150+F1157</f>
        <v>2124041</v>
      </c>
    </row>
    <row r="1150" spans="1:6" ht="17.100000000000001" customHeight="1">
      <c r="A1150" s="530"/>
      <c r="B1150" s="540"/>
      <c r="C1150" s="541"/>
      <c r="D1150" s="1289" t="s">
        <v>585</v>
      </c>
      <c r="E1150" s="1292"/>
      <c r="F1150" s="539">
        <f>SUM(F1151:F1155)</f>
        <v>1598474</v>
      </c>
    </row>
    <row r="1151" spans="1:6" ht="17.100000000000001" customHeight="1">
      <c r="A1151" s="530"/>
      <c r="B1151" s="1268"/>
      <c r="C1151" s="1269"/>
      <c r="D1151" s="537" t="s">
        <v>527</v>
      </c>
      <c r="E1151" s="538" t="s">
        <v>586</v>
      </c>
      <c r="F1151" s="539">
        <v>1195546</v>
      </c>
    </row>
    <row r="1152" spans="1:6" ht="17.100000000000001" customHeight="1">
      <c r="A1152" s="530"/>
      <c r="B1152" s="1268"/>
      <c r="C1152" s="1269"/>
      <c r="D1152" s="537" t="s">
        <v>587</v>
      </c>
      <c r="E1152" s="538" t="s">
        <v>588</v>
      </c>
      <c r="F1152" s="539">
        <v>115366</v>
      </c>
    </row>
    <row r="1153" spans="1:6" ht="17.100000000000001" customHeight="1">
      <c r="A1153" s="530"/>
      <c r="B1153" s="1268"/>
      <c r="C1153" s="1269"/>
      <c r="D1153" s="537" t="s">
        <v>589</v>
      </c>
      <c r="E1153" s="538" t="s">
        <v>590</v>
      </c>
      <c r="F1153" s="539">
        <v>225264</v>
      </c>
    </row>
    <row r="1154" spans="1:6" ht="17.100000000000001" customHeight="1">
      <c r="A1154" s="530"/>
      <c r="B1154" s="1268"/>
      <c r="C1154" s="1269"/>
      <c r="D1154" s="537" t="s">
        <v>591</v>
      </c>
      <c r="E1154" s="538" t="s">
        <v>592</v>
      </c>
      <c r="F1154" s="539">
        <v>32598</v>
      </c>
    </row>
    <row r="1155" spans="1:6" ht="17.100000000000001" customHeight="1">
      <c r="A1155" s="530"/>
      <c r="B1155" s="540"/>
      <c r="C1155" s="541"/>
      <c r="D1155" s="550" t="s">
        <v>593</v>
      </c>
      <c r="E1155" s="555" t="s">
        <v>594</v>
      </c>
      <c r="F1155" s="607">
        <v>29700</v>
      </c>
    </row>
    <row r="1156" spans="1:6" ht="17.100000000000001" customHeight="1">
      <c r="A1156" s="530"/>
      <c r="B1156" s="540"/>
      <c r="C1156" s="541"/>
      <c r="D1156" s="1268"/>
      <c r="E1156" s="1270"/>
      <c r="F1156" s="1271"/>
    </row>
    <row r="1157" spans="1:6" ht="17.100000000000001" customHeight="1">
      <c r="A1157" s="530"/>
      <c r="B1157" s="540"/>
      <c r="C1157" s="541"/>
      <c r="D1157" s="1266" t="s">
        <v>595</v>
      </c>
      <c r="E1157" s="1267"/>
      <c r="F1157" s="539">
        <f>SUM(F1158:F1174)</f>
        <v>525567</v>
      </c>
    </row>
    <row r="1158" spans="1:6" ht="17.100000000000001" customHeight="1">
      <c r="A1158" s="530"/>
      <c r="B1158" s="540"/>
      <c r="C1158" s="541"/>
      <c r="D1158" s="537" t="s">
        <v>596</v>
      </c>
      <c r="E1158" s="538" t="s">
        <v>597</v>
      </c>
      <c r="F1158" s="539">
        <v>11702</v>
      </c>
    </row>
    <row r="1159" spans="1:6" ht="17.100000000000001" customHeight="1">
      <c r="A1159" s="530"/>
      <c r="B1159" s="540"/>
      <c r="C1159" s="541"/>
      <c r="D1159" s="537" t="s">
        <v>661</v>
      </c>
      <c r="E1159" s="538" t="s">
        <v>648</v>
      </c>
      <c r="F1159" s="539">
        <v>20000</v>
      </c>
    </row>
    <row r="1160" spans="1:6" ht="17.100000000000001" customHeight="1">
      <c r="A1160" s="530"/>
      <c r="B1160" s="1268"/>
      <c r="C1160" s="1269"/>
      <c r="D1160" s="537" t="s">
        <v>598</v>
      </c>
      <c r="E1160" s="538" t="s">
        <v>599</v>
      </c>
      <c r="F1160" s="539">
        <v>79410</v>
      </c>
    </row>
    <row r="1161" spans="1:6" ht="17.100000000000001" customHeight="1">
      <c r="A1161" s="530"/>
      <c r="B1161" s="1268"/>
      <c r="C1161" s="1269"/>
      <c r="D1161" s="537" t="s">
        <v>602</v>
      </c>
      <c r="E1161" s="538" t="s">
        <v>603</v>
      </c>
      <c r="F1161" s="539">
        <v>27050</v>
      </c>
    </row>
    <row r="1162" spans="1:6" ht="17.100000000000001" customHeight="1">
      <c r="A1162" s="530"/>
      <c r="B1162" s="1268"/>
      <c r="C1162" s="1269"/>
      <c r="D1162" s="537" t="s">
        <v>604</v>
      </c>
      <c r="E1162" s="538" t="s">
        <v>605</v>
      </c>
      <c r="F1162" s="539">
        <v>10752</v>
      </c>
    </row>
    <row r="1163" spans="1:6" ht="17.100000000000001" customHeight="1">
      <c r="A1163" s="530"/>
      <c r="B1163" s="1268"/>
      <c r="C1163" s="1269"/>
      <c r="D1163" s="537" t="s">
        <v>606</v>
      </c>
      <c r="E1163" s="538" t="s">
        <v>607</v>
      </c>
      <c r="F1163" s="539">
        <v>2400</v>
      </c>
    </row>
    <row r="1164" spans="1:6" ht="17.100000000000001" customHeight="1">
      <c r="A1164" s="530"/>
      <c r="B1164" s="1268"/>
      <c r="C1164" s="1269"/>
      <c r="D1164" s="537" t="s">
        <v>406</v>
      </c>
      <c r="E1164" s="538" t="s">
        <v>608</v>
      </c>
      <c r="F1164" s="539">
        <v>194275</v>
      </c>
    </row>
    <row r="1165" spans="1:6" ht="16.5" customHeight="1">
      <c r="A1165" s="530"/>
      <c r="B1165" s="1268"/>
      <c r="C1165" s="1269"/>
      <c r="D1165" s="537" t="s">
        <v>609</v>
      </c>
      <c r="E1165" s="538" t="s">
        <v>610</v>
      </c>
      <c r="F1165" s="539">
        <v>16680</v>
      </c>
    </row>
    <row r="1166" spans="1:6" ht="16.5" customHeight="1">
      <c r="A1166" s="530"/>
      <c r="B1166" s="540"/>
      <c r="C1166" s="541"/>
      <c r="D1166" s="537" t="s">
        <v>664</v>
      </c>
      <c r="E1166" s="538" t="s">
        <v>649</v>
      </c>
      <c r="F1166" s="539">
        <v>55000</v>
      </c>
    </row>
    <row r="1167" spans="1:6" ht="20.100000000000001" customHeight="1">
      <c r="A1167" s="530"/>
      <c r="B1167" s="1268"/>
      <c r="C1167" s="1269"/>
      <c r="D1167" s="537" t="s">
        <v>611</v>
      </c>
      <c r="E1167" s="538" t="s">
        <v>612</v>
      </c>
      <c r="F1167" s="539">
        <v>21587</v>
      </c>
    </row>
    <row r="1168" spans="1:6" ht="17.100000000000001" customHeight="1">
      <c r="A1168" s="530"/>
      <c r="B1168" s="1268"/>
      <c r="C1168" s="1269"/>
      <c r="D1168" s="537" t="s">
        <v>613</v>
      </c>
      <c r="E1168" s="538" t="s">
        <v>614</v>
      </c>
      <c r="F1168" s="539">
        <v>8652</v>
      </c>
    </row>
    <row r="1169" spans="1:6" ht="17.100000000000001" customHeight="1">
      <c r="A1169" s="530"/>
      <c r="B1169" s="1268"/>
      <c r="C1169" s="1269"/>
      <c r="D1169" s="537" t="s">
        <v>698</v>
      </c>
      <c r="E1169" s="538" t="s">
        <v>699</v>
      </c>
      <c r="F1169" s="539">
        <v>3000</v>
      </c>
    </row>
    <row r="1170" spans="1:6" ht="17.100000000000001" customHeight="1">
      <c r="A1170" s="530"/>
      <c r="B1170" s="1268"/>
      <c r="C1170" s="1269"/>
      <c r="D1170" s="537" t="s">
        <v>615</v>
      </c>
      <c r="E1170" s="538" t="s">
        <v>616</v>
      </c>
      <c r="F1170" s="539">
        <v>1300</v>
      </c>
    </row>
    <row r="1171" spans="1:6" ht="17.100000000000001" customHeight="1">
      <c r="A1171" s="530"/>
      <c r="B1171" s="1268"/>
      <c r="C1171" s="1269"/>
      <c r="D1171" s="537" t="s">
        <v>617</v>
      </c>
      <c r="E1171" s="538" t="s">
        <v>618</v>
      </c>
      <c r="F1171" s="539">
        <v>48447</v>
      </c>
    </row>
    <row r="1172" spans="1:6" ht="17.100000000000001" customHeight="1">
      <c r="A1172" s="530"/>
      <c r="B1172" s="540"/>
      <c r="C1172" s="541"/>
      <c r="D1172" s="537" t="s">
        <v>619</v>
      </c>
      <c r="E1172" s="538" t="s">
        <v>620</v>
      </c>
      <c r="F1172" s="539">
        <v>5020</v>
      </c>
    </row>
    <row r="1173" spans="1:6" ht="17.100000000000001" customHeight="1">
      <c r="A1173" s="530"/>
      <c r="B1173" s="540"/>
      <c r="C1173" s="541"/>
      <c r="D1173" s="537" t="s">
        <v>623</v>
      </c>
      <c r="E1173" s="538" t="s">
        <v>624</v>
      </c>
      <c r="F1173" s="539">
        <v>5292</v>
      </c>
    </row>
    <row r="1174" spans="1:6" ht="17.100000000000001" customHeight="1">
      <c r="A1174" s="530"/>
      <c r="B1174" s="1268"/>
      <c r="C1174" s="1269"/>
      <c r="D1174" s="537" t="s">
        <v>627</v>
      </c>
      <c r="E1174" s="538" t="s">
        <v>628</v>
      </c>
      <c r="F1174" s="539">
        <v>15000</v>
      </c>
    </row>
    <row r="1175" spans="1:6" ht="17.100000000000001" customHeight="1">
      <c r="A1175" s="530"/>
      <c r="B1175" s="540"/>
      <c r="C1175" s="541"/>
      <c r="D1175" s="1268"/>
      <c r="E1175" s="1270"/>
      <c r="F1175" s="1271"/>
    </row>
    <row r="1176" spans="1:6" ht="17.100000000000001" customHeight="1">
      <c r="A1176" s="530"/>
      <c r="B1176" s="540"/>
      <c r="C1176" s="541"/>
      <c r="D1176" s="1293" t="s">
        <v>643</v>
      </c>
      <c r="E1176" s="1294"/>
      <c r="F1176" s="539">
        <f>F1177</f>
        <v>680000</v>
      </c>
    </row>
    <row r="1177" spans="1:6" ht="38.25" customHeight="1">
      <c r="A1177" s="530"/>
      <c r="B1177" s="540"/>
      <c r="C1177" s="541"/>
      <c r="D1177" s="537" t="s">
        <v>665</v>
      </c>
      <c r="E1177" s="538" t="s">
        <v>666</v>
      </c>
      <c r="F1177" s="539">
        <v>680000</v>
      </c>
    </row>
    <row r="1178" spans="1:6" ht="17.100000000000001" customHeight="1">
      <c r="A1178" s="530"/>
      <c r="B1178" s="540"/>
      <c r="C1178" s="541"/>
      <c r="D1178" s="1268"/>
      <c r="E1178" s="1270"/>
      <c r="F1178" s="1271"/>
    </row>
    <row r="1179" spans="1:6" ht="17.100000000000001" customHeight="1">
      <c r="A1179" s="530"/>
      <c r="B1179" s="540"/>
      <c r="C1179" s="541"/>
      <c r="D1179" s="1335" t="s">
        <v>629</v>
      </c>
      <c r="E1179" s="1419"/>
      <c r="F1179" s="553">
        <f>SUM(F1180:F1180)</f>
        <v>5870</v>
      </c>
    </row>
    <row r="1180" spans="1:6" ht="17.100000000000001" customHeight="1">
      <c r="A1180" s="530"/>
      <c r="B1180" s="540"/>
      <c r="C1180" s="541"/>
      <c r="D1180" s="537" t="s">
        <v>630</v>
      </c>
      <c r="E1180" s="538" t="s">
        <v>631</v>
      </c>
      <c r="F1180" s="606">
        <v>5870</v>
      </c>
    </row>
    <row r="1181" spans="1:6" ht="17.100000000000001" hidden="1" customHeight="1">
      <c r="A1181" s="530"/>
      <c r="B1181" s="1295" t="s">
        <v>878</v>
      </c>
      <c r="C1181" s="1296"/>
      <c r="D1181" s="542"/>
      <c r="E1181" s="543" t="s">
        <v>879</v>
      </c>
      <c r="F1181" s="544">
        <f>F1182</f>
        <v>0</v>
      </c>
    </row>
    <row r="1182" spans="1:6" ht="17.100000000000001" hidden="1" customHeight="1">
      <c r="A1182" s="530"/>
      <c r="B1182" s="1281"/>
      <c r="C1182" s="1282"/>
      <c r="D1182" s="1285" t="s">
        <v>583</v>
      </c>
      <c r="E1182" s="1286"/>
      <c r="F1182" s="534">
        <f>F1183</f>
        <v>0</v>
      </c>
    </row>
    <row r="1183" spans="1:6" ht="17.100000000000001" hidden="1" customHeight="1">
      <c r="A1183" s="530"/>
      <c r="B1183" s="1283"/>
      <c r="C1183" s="1284"/>
      <c r="D1183" s="1287" t="s">
        <v>643</v>
      </c>
      <c r="E1183" s="1291"/>
      <c r="F1183" s="539">
        <f>F1184</f>
        <v>0</v>
      </c>
    </row>
    <row r="1184" spans="1:6" ht="36.75" hidden="1" customHeight="1">
      <c r="A1184" s="530"/>
      <c r="B1184" s="1298"/>
      <c r="C1184" s="1299"/>
      <c r="D1184" s="537" t="s">
        <v>317</v>
      </c>
      <c r="E1184" s="538" t="s">
        <v>680</v>
      </c>
      <c r="F1184" s="539">
        <v>0</v>
      </c>
    </row>
    <row r="1185" spans="1:6" ht="17.100000000000001" hidden="1" customHeight="1">
      <c r="A1185" s="530"/>
      <c r="B1185" s="1295" t="s">
        <v>880</v>
      </c>
      <c r="C1185" s="1296"/>
      <c r="D1185" s="542"/>
      <c r="E1185" s="543" t="s">
        <v>881</v>
      </c>
      <c r="F1185" s="544">
        <f>F1186</f>
        <v>0</v>
      </c>
    </row>
    <row r="1186" spans="1:6" ht="17.100000000000001" hidden="1" customHeight="1">
      <c r="A1186" s="530"/>
      <c r="B1186" s="1281"/>
      <c r="C1186" s="1282"/>
      <c r="D1186" s="1285" t="s">
        <v>583</v>
      </c>
      <c r="E1186" s="1286"/>
      <c r="F1186" s="534">
        <f>F1187</f>
        <v>0</v>
      </c>
    </row>
    <row r="1187" spans="1:6" ht="17.100000000000001" hidden="1" customHeight="1">
      <c r="A1187" s="530"/>
      <c r="B1187" s="1283"/>
      <c r="C1187" s="1284"/>
      <c r="D1187" s="1287" t="s">
        <v>643</v>
      </c>
      <c r="E1187" s="1291"/>
      <c r="F1187" s="539">
        <f>F1188</f>
        <v>0</v>
      </c>
    </row>
    <row r="1188" spans="1:6" ht="41.25" hidden="1" customHeight="1">
      <c r="A1188" s="530"/>
      <c r="B1188" s="1298"/>
      <c r="C1188" s="1299"/>
      <c r="D1188" s="537" t="s">
        <v>317</v>
      </c>
      <c r="E1188" s="538" t="s">
        <v>680</v>
      </c>
      <c r="F1188" s="539">
        <v>0</v>
      </c>
    </row>
    <row r="1189" spans="1:6" ht="17.100000000000001" customHeight="1">
      <c r="A1189" s="530"/>
      <c r="B1189" s="1295" t="s">
        <v>515</v>
      </c>
      <c r="C1189" s="1296"/>
      <c r="D1189" s="542"/>
      <c r="E1189" s="543" t="s">
        <v>238</v>
      </c>
      <c r="F1189" s="544">
        <f>SUM(F1190)</f>
        <v>16954847</v>
      </c>
    </row>
    <row r="1190" spans="1:6" ht="17.100000000000001" customHeight="1">
      <c r="A1190" s="530"/>
      <c r="B1190" s="1281"/>
      <c r="C1190" s="1311"/>
      <c r="D1190" s="1285" t="s">
        <v>583</v>
      </c>
      <c r="E1190" s="1286"/>
      <c r="F1190" s="534">
        <f>F1191+F1195</f>
        <v>16954847</v>
      </c>
    </row>
    <row r="1191" spans="1:6" ht="17.100000000000001" customHeight="1">
      <c r="A1191" s="530"/>
      <c r="B1191" s="1283"/>
      <c r="C1191" s="1312"/>
      <c r="D1191" s="1287" t="s">
        <v>643</v>
      </c>
      <c r="E1191" s="1291"/>
      <c r="F1191" s="539">
        <f>F1192+F1193</f>
        <v>16234847</v>
      </c>
    </row>
    <row r="1192" spans="1:6" ht="59.25" customHeight="1">
      <c r="A1192" s="530"/>
      <c r="B1192" s="1283"/>
      <c r="C1192" s="1312"/>
      <c r="D1192" s="537" t="s">
        <v>317</v>
      </c>
      <c r="E1192" s="538" t="s">
        <v>673</v>
      </c>
      <c r="F1192" s="539">
        <v>11270908</v>
      </c>
    </row>
    <row r="1193" spans="1:6" ht="51">
      <c r="A1193" s="530"/>
      <c r="B1193" s="1283"/>
      <c r="C1193" s="1312"/>
      <c r="D1193" s="537" t="s">
        <v>466</v>
      </c>
      <c r="E1193" s="576" t="s">
        <v>727</v>
      </c>
      <c r="F1193" s="539">
        <v>4963939</v>
      </c>
    </row>
    <row r="1194" spans="1:6">
      <c r="A1194" s="530"/>
      <c r="B1194" s="1283"/>
      <c r="C1194" s="1312"/>
      <c r="D1194" s="557"/>
      <c r="E1194" s="1463"/>
      <c r="F1194" s="1464"/>
    </row>
    <row r="1195" spans="1:6">
      <c r="A1195" s="530"/>
      <c r="B1195" s="1283"/>
      <c r="C1195" s="1312"/>
      <c r="D1195" s="1287" t="s">
        <v>647</v>
      </c>
      <c r="E1195" s="1291"/>
      <c r="F1195" s="539">
        <f>SUM(F1196:F1210)</f>
        <v>720000</v>
      </c>
    </row>
    <row r="1196" spans="1:6">
      <c r="A1196" s="530"/>
      <c r="B1196" s="1283"/>
      <c r="C1196" s="1312"/>
      <c r="D1196" s="680" t="s">
        <v>522</v>
      </c>
      <c r="E1196" s="538" t="s">
        <v>741</v>
      </c>
      <c r="F1196" s="539">
        <v>3000</v>
      </c>
    </row>
    <row r="1197" spans="1:6" ht="17.100000000000001" customHeight="1">
      <c r="A1197" s="530"/>
      <c r="B1197" s="1283"/>
      <c r="C1197" s="1312"/>
      <c r="D1197" s="537" t="s">
        <v>391</v>
      </c>
      <c r="E1197" s="538" t="s">
        <v>586</v>
      </c>
      <c r="F1197" s="539">
        <v>169437</v>
      </c>
    </row>
    <row r="1198" spans="1:6" ht="17.100000000000001" customHeight="1">
      <c r="A1198" s="530"/>
      <c r="B1198" s="1283"/>
      <c r="C1198" s="1312"/>
      <c r="D1198" s="537" t="s">
        <v>363</v>
      </c>
      <c r="E1198" s="538" t="s">
        <v>586</v>
      </c>
      <c r="F1198" s="539">
        <v>90279</v>
      </c>
    </row>
    <row r="1199" spans="1:6" ht="17.100000000000001" customHeight="1">
      <c r="A1199" s="530"/>
      <c r="B1199" s="1283"/>
      <c r="C1199" s="1312"/>
      <c r="D1199" s="537" t="s">
        <v>392</v>
      </c>
      <c r="E1199" s="538" t="s">
        <v>588</v>
      </c>
      <c r="F1199" s="539">
        <v>25889</v>
      </c>
    </row>
    <row r="1200" spans="1:6" ht="17.100000000000001" customHeight="1">
      <c r="A1200" s="530"/>
      <c r="B1200" s="1283"/>
      <c r="C1200" s="1312"/>
      <c r="D1200" s="537" t="s">
        <v>393</v>
      </c>
      <c r="E1200" s="538" t="s">
        <v>590</v>
      </c>
      <c r="F1200" s="539">
        <v>34124</v>
      </c>
    </row>
    <row r="1201" spans="1:6" ht="17.100000000000001" customHeight="1">
      <c r="A1201" s="530"/>
      <c r="B1201" s="1283"/>
      <c r="C1201" s="1312"/>
      <c r="D1201" s="537" t="s">
        <v>335</v>
      </c>
      <c r="E1201" s="538" t="s">
        <v>590</v>
      </c>
      <c r="F1201" s="539">
        <v>15284</v>
      </c>
    </row>
    <row r="1202" spans="1:6" ht="17.100000000000001" customHeight="1">
      <c r="A1202" s="530"/>
      <c r="B1202" s="1283"/>
      <c r="C1202" s="1312"/>
      <c r="D1202" s="537" t="s">
        <v>394</v>
      </c>
      <c r="E1202" s="538" t="s">
        <v>592</v>
      </c>
      <c r="F1202" s="539">
        <v>4796</v>
      </c>
    </row>
    <row r="1203" spans="1:6" ht="17.100000000000001" customHeight="1">
      <c r="A1203" s="530"/>
      <c r="B1203" s="1283"/>
      <c r="C1203" s="1312"/>
      <c r="D1203" s="537" t="s">
        <v>367</v>
      </c>
      <c r="E1203" s="538" t="s">
        <v>592</v>
      </c>
      <c r="F1203" s="539">
        <v>2212</v>
      </c>
    </row>
    <row r="1204" spans="1:6">
      <c r="A1204" s="530"/>
      <c r="B1204" s="1283"/>
      <c r="C1204" s="1312"/>
      <c r="D1204" s="537" t="s">
        <v>395</v>
      </c>
      <c r="E1204" s="538" t="s">
        <v>594</v>
      </c>
      <c r="F1204" s="539">
        <v>2800</v>
      </c>
    </row>
    <row r="1205" spans="1:6" ht="17.100000000000001" customHeight="1">
      <c r="A1205" s="530"/>
      <c r="B1205" s="1283"/>
      <c r="C1205" s="1312"/>
      <c r="D1205" s="537" t="s">
        <v>397</v>
      </c>
      <c r="E1205" s="538" t="s">
        <v>608</v>
      </c>
      <c r="F1205" s="539">
        <v>290442</v>
      </c>
    </row>
    <row r="1206" spans="1:6" ht="17.100000000000001" customHeight="1">
      <c r="A1206" s="530"/>
      <c r="B1206" s="1283"/>
      <c r="C1206" s="1312"/>
      <c r="D1206" s="537" t="s">
        <v>342</v>
      </c>
      <c r="E1206" s="538" t="s">
        <v>608</v>
      </c>
      <c r="F1206" s="539">
        <v>225</v>
      </c>
    </row>
    <row r="1207" spans="1:6" ht="17.100000000000001" customHeight="1">
      <c r="A1207" s="530"/>
      <c r="B1207" s="1283"/>
      <c r="C1207" s="1312"/>
      <c r="D1207" s="551" t="s">
        <v>399</v>
      </c>
      <c r="E1207" s="552" t="s">
        <v>649</v>
      </c>
      <c r="F1207" s="553">
        <v>80000</v>
      </c>
    </row>
    <row r="1208" spans="1:6" ht="17.100000000000001" customHeight="1" thickBot="1">
      <c r="A1208" s="530"/>
      <c r="B1208" s="1283"/>
      <c r="C1208" s="1312"/>
      <c r="D1208" s="537" t="s">
        <v>400</v>
      </c>
      <c r="E1208" s="538" t="s">
        <v>614</v>
      </c>
      <c r="F1208" s="606">
        <v>1512</v>
      </c>
    </row>
    <row r="1209" spans="1:6" ht="17.100000000000001" hidden="1" customHeight="1">
      <c r="A1209" s="530"/>
      <c r="B1209" s="1283"/>
      <c r="C1209" s="1312"/>
      <c r="D1209" s="537" t="s">
        <v>882</v>
      </c>
      <c r="E1209" s="538" t="s">
        <v>620</v>
      </c>
      <c r="F1209" s="594"/>
    </row>
    <row r="1210" spans="1:6" ht="17.100000000000001" hidden="1" customHeight="1">
      <c r="A1210" s="530"/>
      <c r="B1210" s="1283"/>
      <c r="C1210" s="1312"/>
      <c r="D1210" s="551" t="s">
        <v>883</v>
      </c>
      <c r="E1210" s="552" t="s">
        <v>620</v>
      </c>
      <c r="F1210" s="597"/>
    </row>
    <row r="1211" spans="1:6" ht="17.100000000000001" customHeight="1" thickBot="1">
      <c r="A1211" s="526" t="s">
        <v>142</v>
      </c>
      <c r="B1211" s="1277"/>
      <c r="C1211" s="1278"/>
      <c r="D1211" s="527"/>
      <c r="E1211" s="528" t="s">
        <v>884</v>
      </c>
      <c r="F1211" s="529">
        <f>F1212+F1218+F1299</f>
        <v>44086594</v>
      </c>
    </row>
    <row r="1212" spans="1:6" ht="17.100000000000001" customHeight="1">
      <c r="A1212" s="530"/>
      <c r="B1212" s="1279" t="s">
        <v>143</v>
      </c>
      <c r="C1212" s="1280"/>
      <c r="D1212" s="531"/>
      <c r="E1212" s="532" t="s">
        <v>885</v>
      </c>
      <c r="F1212" s="533">
        <f>F1213</f>
        <v>1725542</v>
      </c>
    </row>
    <row r="1213" spans="1:6" ht="17.100000000000001" customHeight="1">
      <c r="A1213" s="530"/>
      <c r="B1213" s="1281"/>
      <c r="C1213" s="1282"/>
      <c r="D1213" s="1285" t="s">
        <v>583</v>
      </c>
      <c r="E1213" s="1286"/>
      <c r="F1213" s="534">
        <f>F1214</f>
        <v>1725542</v>
      </c>
    </row>
    <row r="1214" spans="1:6" ht="17.100000000000001" customHeight="1">
      <c r="A1214" s="530"/>
      <c r="B1214" s="1283"/>
      <c r="C1214" s="1284"/>
      <c r="D1214" s="1287" t="s">
        <v>643</v>
      </c>
      <c r="E1214" s="1291"/>
      <c r="F1214" s="539">
        <f>SUM(F1215:F1217)</f>
        <v>1725542</v>
      </c>
    </row>
    <row r="1215" spans="1:6" ht="46.5" customHeight="1">
      <c r="A1215" s="530"/>
      <c r="B1215" s="1283"/>
      <c r="C1215" s="1284"/>
      <c r="D1215" s="537" t="s">
        <v>665</v>
      </c>
      <c r="E1215" s="538" t="s">
        <v>666</v>
      </c>
      <c r="F1215" s="539">
        <v>777925</v>
      </c>
    </row>
    <row r="1216" spans="1:6" ht="30" customHeight="1">
      <c r="A1216" s="530"/>
      <c r="B1216" s="1268"/>
      <c r="C1216" s="1269"/>
      <c r="D1216" s="537" t="s">
        <v>886</v>
      </c>
      <c r="E1216" s="538" t="s">
        <v>887</v>
      </c>
      <c r="F1216" s="539">
        <v>82223</v>
      </c>
    </row>
    <row r="1217" spans="1:6" ht="32.25" customHeight="1">
      <c r="A1217" s="530"/>
      <c r="B1217" s="1303"/>
      <c r="C1217" s="1334"/>
      <c r="D1217" s="537" t="s">
        <v>888</v>
      </c>
      <c r="E1217" s="538" t="s">
        <v>889</v>
      </c>
      <c r="F1217" s="539">
        <v>865394</v>
      </c>
    </row>
    <row r="1218" spans="1:6" ht="17.100000000000001" customHeight="1">
      <c r="A1218" s="530"/>
      <c r="B1218" s="1295" t="s">
        <v>261</v>
      </c>
      <c r="C1218" s="1296"/>
      <c r="D1218" s="542"/>
      <c r="E1218" s="543" t="s">
        <v>262</v>
      </c>
      <c r="F1218" s="544">
        <f>F1219+F1285</f>
        <v>33789369</v>
      </c>
    </row>
    <row r="1219" spans="1:6" ht="17.100000000000001" customHeight="1">
      <c r="A1219" s="530"/>
      <c r="B1219" s="540"/>
      <c r="C1219" s="541"/>
      <c r="D1219" s="1285" t="s">
        <v>583</v>
      </c>
      <c r="E1219" s="1286"/>
      <c r="F1219" s="610">
        <f>F1220+F1247+F1251</f>
        <v>29934060</v>
      </c>
    </row>
    <row r="1220" spans="1:6" ht="17.100000000000001" customHeight="1">
      <c r="A1220" s="530"/>
      <c r="B1220" s="540"/>
      <c r="C1220" s="541"/>
      <c r="D1220" s="1459" t="s">
        <v>584</v>
      </c>
      <c r="E1220" s="1460"/>
      <c r="F1220" s="618">
        <f>F1221+F1228</f>
        <v>10606267</v>
      </c>
    </row>
    <row r="1221" spans="1:6" ht="17.100000000000001" customHeight="1">
      <c r="A1221" s="530"/>
      <c r="B1221" s="540"/>
      <c r="C1221" s="581"/>
      <c r="D1221" s="1461" t="s">
        <v>585</v>
      </c>
      <c r="E1221" s="1462"/>
      <c r="F1221" s="535">
        <f>SUM(F1222:F1226)</f>
        <v>8669327</v>
      </c>
    </row>
    <row r="1222" spans="1:6" ht="17.100000000000001" customHeight="1">
      <c r="A1222" s="530"/>
      <c r="B1222" s="540"/>
      <c r="C1222" s="541"/>
      <c r="D1222" s="550" t="s">
        <v>527</v>
      </c>
      <c r="E1222" s="555" t="s">
        <v>586</v>
      </c>
      <c r="F1222" s="681">
        <v>6868507</v>
      </c>
    </row>
    <row r="1223" spans="1:6" ht="17.100000000000001" customHeight="1">
      <c r="A1223" s="530"/>
      <c r="B1223" s="540"/>
      <c r="C1223" s="541"/>
      <c r="D1223" s="537" t="s">
        <v>587</v>
      </c>
      <c r="E1223" s="538" t="s">
        <v>588</v>
      </c>
      <c r="F1223" s="535">
        <v>465560</v>
      </c>
    </row>
    <row r="1224" spans="1:6" ht="17.100000000000001" customHeight="1">
      <c r="A1224" s="530"/>
      <c r="B1224" s="540"/>
      <c r="C1224" s="541"/>
      <c r="D1224" s="537" t="s">
        <v>589</v>
      </c>
      <c r="E1224" s="538" t="s">
        <v>590</v>
      </c>
      <c r="F1224" s="535">
        <v>1157267</v>
      </c>
    </row>
    <row r="1225" spans="1:6" ht="17.100000000000001" customHeight="1">
      <c r="A1225" s="530"/>
      <c r="B1225" s="540"/>
      <c r="C1225" s="541"/>
      <c r="D1225" s="537" t="s">
        <v>591</v>
      </c>
      <c r="E1225" s="538" t="s">
        <v>592</v>
      </c>
      <c r="F1225" s="535">
        <v>166613</v>
      </c>
    </row>
    <row r="1226" spans="1:6" ht="17.100000000000001" customHeight="1">
      <c r="A1226" s="530"/>
      <c r="B1226" s="540"/>
      <c r="C1226" s="541"/>
      <c r="D1226" s="537" t="s">
        <v>593</v>
      </c>
      <c r="E1226" s="538" t="s">
        <v>594</v>
      </c>
      <c r="F1226" s="535">
        <v>11380</v>
      </c>
    </row>
    <row r="1227" spans="1:6" ht="17.100000000000001" customHeight="1">
      <c r="A1227" s="530"/>
      <c r="B1227" s="540"/>
      <c r="C1227" s="541"/>
      <c r="D1227" s="1268"/>
      <c r="E1227" s="1270"/>
      <c r="F1227" s="1271"/>
    </row>
    <row r="1228" spans="1:6" ht="17.100000000000001" customHeight="1">
      <c r="A1228" s="530"/>
      <c r="B1228" s="1268"/>
      <c r="C1228" s="1270"/>
      <c r="D1228" s="1465" t="s">
        <v>595</v>
      </c>
      <c r="E1228" s="1466"/>
      <c r="F1228" s="535">
        <f>SUM(F1229:F1245)</f>
        <v>1936940</v>
      </c>
    </row>
    <row r="1229" spans="1:6" ht="17.100000000000001" customHeight="1">
      <c r="A1229" s="530"/>
      <c r="B1229" s="540"/>
      <c r="C1229" s="581"/>
      <c r="D1229" s="537" t="s">
        <v>596</v>
      </c>
      <c r="E1229" s="538" t="s">
        <v>597</v>
      </c>
      <c r="F1229" s="535">
        <v>2100</v>
      </c>
    </row>
    <row r="1230" spans="1:6" ht="17.100000000000001" customHeight="1">
      <c r="A1230" s="530"/>
      <c r="B1230" s="540"/>
      <c r="C1230" s="581"/>
      <c r="D1230" s="537" t="s">
        <v>598</v>
      </c>
      <c r="E1230" s="538" t="s">
        <v>599</v>
      </c>
      <c r="F1230" s="535">
        <v>188814</v>
      </c>
    </row>
    <row r="1231" spans="1:6" ht="17.100000000000001" customHeight="1">
      <c r="A1231" s="530"/>
      <c r="B1231" s="540"/>
      <c r="C1231" s="581"/>
      <c r="D1231" s="537" t="s">
        <v>602</v>
      </c>
      <c r="E1231" s="538" t="s">
        <v>603</v>
      </c>
      <c r="F1231" s="535">
        <v>257500</v>
      </c>
    </row>
    <row r="1232" spans="1:6" ht="17.100000000000001" customHeight="1">
      <c r="A1232" s="530"/>
      <c r="B1232" s="540"/>
      <c r="C1232" s="581"/>
      <c r="D1232" s="537" t="s">
        <v>604</v>
      </c>
      <c r="E1232" s="538" t="s">
        <v>605</v>
      </c>
      <c r="F1232" s="535">
        <v>80600</v>
      </c>
    </row>
    <row r="1233" spans="1:6" ht="17.100000000000001" customHeight="1">
      <c r="A1233" s="530"/>
      <c r="B1233" s="540"/>
      <c r="C1233" s="581"/>
      <c r="D1233" s="537" t="s">
        <v>606</v>
      </c>
      <c r="E1233" s="538" t="s">
        <v>607</v>
      </c>
      <c r="F1233" s="535">
        <v>8014</v>
      </c>
    </row>
    <row r="1234" spans="1:6" ht="17.100000000000001" customHeight="1">
      <c r="A1234" s="530"/>
      <c r="B1234" s="540"/>
      <c r="C1234" s="581"/>
      <c r="D1234" s="537" t="s">
        <v>406</v>
      </c>
      <c r="E1234" s="538" t="s">
        <v>608</v>
      </c>
      <c r="F1234" s="535">
        <v>523510</v>
      </c>
    </row>
    <row r="1235" spans="1:6" ht="16.5" customHeight="1">
      <c r="A1235" s="530"/>
      <c r="B1235" s="540"/>
      <c r="C1235" s="581"/>
      <c r="D1235" s="537" t="s">
        <v>609</v>
      </c>
      <c r="E1235" s="538" t="s">
        <v>610</v>
      </c>
      <c r="F1235" s="535">
        <v>43100</v>
      </c>
    </row>
    <row r="1236" spans="1:6" ht="16.5" customHeight="1">
      <c r="A1236" s="530"/>
      <c r="B1236" s="540"/>
      <c r="C1236" s="581"/>
      <c r="D1236" s="537" t="s">
        <v>664</v>
      </c>
      <c r="E1236" s="538" t="s">
        <v>649</v>
      </c>
      <c r="F1236" s="535">
        <v>2200</v>
      </c>
    </row>
    <row r="1237" spans="1:6" ht="17.100000000000001" customHeight="1">
      <c r="A1237" s="530"/>
      <c r="B1237" s="540"/>
      <c r="C1237" s="581"/>
      <c r="D1237" s="537" t="s">
        <v>611</v>
      </c>
      <c r="E1237" s="538" t="s">
        <v>612</v>
      </c>
      <c r="F1237" s="535">
        <v>199187</v>
      </c>
    </row>
    <row r="1238" spans="1:6" ht="17.100000000000001" customHeight="1">
      <c r="A1238" s="530"/>
      <c r="B1238" s="540"/>
      <c r="C1238" s="581"/>
      <c r="D1238" s="537" t="s">
        <v>613</v>
      </c>
      <c r="E1238" s="538" t="s">
        <v>614</v>
      </c>
      <c r="F1238" s="535">
        <v>36600</v>
      </c>
    </row>
    <row r="1239" spans="1:6" ht="17.100000000000001" customHeight="1">
      <c r="A1239" s="530"/>
      <c r="B1239" s="540"/>
      <c r="C1239" s="581"/>
      <c r="D1239" s="537" t="s">
        <v>698</v>
      </c>
      <c r="E1239" s="538" t="s">
        <v>699</v>
      </c>
      <c r="F1239" s="535">
        <v>1000</v>
      </c>
    </row>
    <row r="1240" spans="1:6" ht="17.100000000000001" customHeight="1">
      <c r="A1240" s="530"/>
      <c r="B1240" s="540"/>
      <c r="C1240" s="581"/>
      <c r="D1240" s="537" t="s">
        <v>615</v>
      </c>
      <c r="E1240" s="538" t="s">
        <v>616</v>
      </c>
      <c r="F1240" s="535">
        <v>20600</v>
      </c>
    </row>
    <row r="1241" spans="1:6" ht="17.100000000000001" customHeight="1">
      <c r="A1241" s="530"/>
      <c r="B1241" s="540"/>
      <c r="C1241" s="581"/>
      <c r="D1241" s="537" t="s">
        <v>617</v>
      </c>
      <c r="E1241" s="538" t="s">
        <v>618</v>
      </c>
      <c r="F1241" s="535">
        <v>371898</v>
      </c>
    </row>
    <row r="1242" spans="1:6" ht="17.100000000000001" customHeight="1">
      <c r="A1242" s="530"/>
      <c r="B1242" s="540"/>
      <c r="C1242" s="581"/>
      <c r="D1242" s="537" t="s">
        <v>619</v>
      </c>
      <c r="E1242" s="538" t="s">
        <v>620</v>
      </c>
      <c r="F1242" s="535">
        <v>35000</v>
      </c>
    </row>
    <row r="1243" spans="1:6" ht="17.100000000000001" customHeight="1">
      <c r="A1243" s="530"/>
      <c r="B1243" s="540"/>
      <c r="C1243" s="581"/>
      <c r="D1243" s="537" t="s">
        <v>623</v>
      </c>
      <c r="E1243" s="538" t="s">
        <v>624</v>
      </c>
      <c r="F1243" s="535">
        <v>114317</v>
      </c>
    </row>
    <row r="1244" spans="1:6" ht="17.100000000000001" customHeight="1">
      <c r="A1244" s="530"/>
      <c r="B1244" s="540"/>
      <c r="C1244" s="581"/>
      <c r="D1244" s="537" t="s">
        <v>634</v>
      </c>
      <c r="E1244" s="538" t="s">
        <v>635</v>
      </c>
      <c r="F1244" s="535">
        <v>6800</v>
      </c>
    </row>
    <row r="1245" spans="1:6" ht="17.100000000000001" customHeight="1">
      <c r="A1245" s="530"/>
      <c r="B1245" s="540"/>
      <c r="C1245" s="581"/>
      <c r="D1245" s="537" t="s">
        <v>627</v>
      </c>
      <c r="E1245" s="538" t="s">
        <v>628</v>
      </c>
      <c r="F1245" s="535">
        <v>45700</v>
      </c>
    </row>
    <row r="1246" spans="1:6" ht="17.100000000000001" customHeight="1">
      <c r="A1246" s="530"/>
      <c r="B1246" s="540"/>
      <c r="C1246" s="581"/>
      <c r="D1246" s="1467"/>
      <c r="E1246" s="1468"/>
      <c r="F1246" s="1469"/>
    </row>
    <row r="1247" spans="1:6" ht="17.100000000000001" customHeight="1">
      <c r="A1247" s="530"/>
      <c r="B1247" s="540"/>
      <c r="C1247" s="581"/>
      <c r="D1247" s="1470" t="s">
        <v>629</v>
      </c>
      <c r="E1247" s="1471"/>
      <c r="F1247" s="535">
        <f>F1248+F1249</f>
        <v>12750</v>
      </c>
    </row>
    <row r="1248" spans="1:6" ht="17.100000000000001" customHeight="1">
      <c r="A1248" s="530"/>
      <c r="B1248" s="540"/>
      <c r="C1248" s="581"/>
      <c r="D1248" s="551" t="s">
        <v>630</v>
      </c>
      <c r="E1248" s="552" t="s">
        <v>631</v>
      </c>
      <c r="F1248" s="618">
        <v>12500</v>
      </c>
    </row>
    <row r="1249" spans="1:6" ht="17.100000000000001" customHeight="1">
      <c r="A1249" s="530"/>
      <c r="B1249" s="540"/>
      <c r="C1249" s="581"/>
      <c r="D1249" s="548" t="s">
        <v>734</v>
      </c>
      <c r="E1249" s="599" t="s">
        <v>741</v>
      </c>
      <c r="F1249" s="535">
        <v>250</v>
      </c>
    </row>
    <row r="1250" spans="1:6" ht="17.100000000000001" customHeight="1">
      <c r="A1250" s="530"/>
      <c r="B1250" s="540"/>
      <c r="C1250" s="581"/>
      <c r="D1250" s="1467"/>
      <c r="E1250" s="1468"/>
      <c r="F1250" s="1469"/>
    </row>
    <row r="1251" spans="1:6" ht="17.100000000000001" customHeight="1">
      <c r="A1251" s="530"/>
      <c r="B1251" s="540"/>
      <c r="C1251" s="581"/>
      <c r="D1251" s="1472" t="s">
        <v>647</v>
      </c>
      <c r="E1251" s="1473"/>
      <c r="F1251" s="535">
        <f>SUM(F1252:F1283)</f>
        <v>19315043</v>
      </c>
    </row>
    <row r="1252" spans="1:6" ht="16.5" customHeight="1">
      <c r="A1252" s="530"/>
      <c r="B1252" s="540"/>
      <c r="C1252" s="581"/>
      <c r="D1252" s="537" t="s">
        <v>370</v>
      </c>
      <c r="E1252" s="552" t="s">
        <v>631</v>
      </c>
      <c r="F1252" s="535">
        <f>7650+4214</f>
        <v>11864</v>
      </c>
    </row>
    <row r="1253" spans="1:6" ht="16.5" customHeight="1">
      <c r="A1253" s="530"/>
      <c r="B1253" s="540"/>
      <c r="C1253" s="581"/>
      <c r="D1253" s="537" t="s">
        <v>371</v>
      </c>
      <c r="E1253" s="552" t="s">
        <v>631</v>
      </c>
      <c r="F1253" s="535">
        <f>1350+786</f>
        <v>2136</v>
      </c>
    </row>
    <row r="1254" spans="1:6" ht="17.100000000000001" customHeight="1">
      <c r="A1254" s="530"/>
      <c r="B1254" s="1268"/>
      <c r="C1254" s="1270"/>
      <c r="D1254" s="548" t="s">
        <v>362</v>
      </c>
      <c r="E1254" s="549" t="s">
        <v>586</v>
      </c>
      <c r="F1254" s="535">
        <f>8437893+2405876</f>
        <v>10843769</v>
      </c>
    </row>
    <row r="1255" spans="1:6" ht="17.100000000000001" customHeight="1">
      <c r="A1255" s="530"/>
      <c r="B1255" s="1268"/>
      <c r="C1255" s="1269"/>
      <c r="D1255" s="550" t="s">
        <v>363</v>
      </c>
      <c r="E1255" s="538" t="s">
        <v>586</v>
      </c>
      <c r="F1255" s="535">
        <f>1489040+448747</f>
        <v>1937787</v>
      </c>
    </row>
    <row r="1256" spans="1:6" ht="17.100000000000001" customHeight="1">
      <c r="A1256" s="530"/>
      <c r="B1256" s="1268"/>
      <c r="C1256" s="1269"/>
      <c r="D1256" s="537" t="s">
        <v>364</v>
      </c>
      <c r="E1256" s="538" t="s">
        <v>588</v>
      </c>
      <c r="F1256" s="535">
        <f>576045+166403</f>
        <v>742448</v>
      </c>
    </row>
    <row r="1257" spans="1:6" ht="17.100000000000001" customHeight="1">
      <c r="A1257" s="530"/>
      <c r="B1257" s="1268"/>
      <c r="C1257" s="1269"/>
      <c r="D1257" s="537" t="s">
        <v>365</v>
      </c>
      <c r="E1257" s="538" t="s">
        <v>588</v>
      </c>
      <c r="F1257" s="535">
        <f>101655+31037</f>
        <v>132692</v>
      </c>
    </row>
    <row r="1258" spans="1:6" ht="17.100000000000001" customHeight="1">
      <c r="A1258" s="530"/>
      <c r="B1258" s="1268"/>
      <c r="C1258" s="1269"/>
      <c r="D1258" s="537" t="s">
        <v>334</v>
      </c>
      <c r="E1258" s="538" t="s">
        <v>590</v>
      </c>
      <c r="F1258" s="535">
        <f>1541384+439860</f>
        <v>1981244</v>
      </c>
    </row>
    <row r="1259" spans="1:6" ht="17.100000000000001" customHeight="1">
      <c r="A1259" s="530"/>
      <c r="B1259" s="1268"/>
      <c r="C1259" s="1269"/>
      <c r="D1259" s="537" t="s">
        <v>335</v>
      </c>
      <c r="E1259" s="538" t="s">
        <v>590</v>
      </c>
      <c r="F1259" s="535">
        <f>272009+82043</f>
        <v>354052</v>
      </c>
    </row>
    <row r="1260" spans="1:6" ht="17.100000000000001" customHeight="1">
      <c r="A1260" s="530"/>
      <c r="B1260" s="1268"/>
      <c r="C1260" s="1269"/>
      <c r="D1260" s="537" t="s">
        <v>366</v>
      </c>
      <c r="E1260" s="538" t="s">
        <v>592</v>
      </c>
      <c r="F1260" s="535">
        <f>220841+63022</f>
        <v>283863</v>
      </c>
    </row>
    <row r="1261" spans="1:6" ht="17.100000000000001" customHeight="1">
      <c r="A1261" s="530"/>
      <c r="B1261" s="1268"/>
      <c r="C1261" s="1269"/>
      <c r="D1261" s="537" t="s">
        <v>367</v>
      </c>
      <c r="E1261" s="538" t="s">
        <v>592</v>
      </c>
      <c r="F1261" s="535">
        <f>38973+11754</f>
        <v>50727</v>
      </c>
    </row>
    <row r="1262" spans="1:6" ht="17.100000000000001" customHeight="1">
      <c r="A1262" s="530"/>
      <c r="B1262" s="1268"/>
      <c r="C1262" s="1269"/>
      <c r="D1262" s="537" t="s">
        <v>336</v>
      </c>
      <c r="E1262" s="538" t="s">
        <v>594</v>
      </c>
      <c r="F1262" s="535">
        <f>142630+29835</f>
        <v>172465</v>
      </c>
    </row>
    <row r="1263" spans="1:6" ht="17.100000000000001" customHeight="1">
      <c r="A1263" s="530"/>
      <c r="B1263" s="1268"/>
      <c r="C1263" s="1269"/>
      <c r="D1263" s="537" t="s">
        <v>337</v>
      </c>
      <c r="E1263" s="538" t="s">
        <v>594</v>
      </c>
      <c r="F1263" s="535">
        <f>25170+5565</f>
        <v>30735</v>
      </c>
    </row>
    <row r="1264" spans="1:6" ht="17.100000000000001" customHeight="1">
      <c r="A1264" s="530"/>
      <c r="B1264" s="1268"/>
      <c r="C1264" s="1269"/>
      <c r="D1264" s="537" t="s">
        <v>339</v>
      </c>
      <c r="E1264" s="538" t="s">
        <v>599</v>
      </c>
      <c r="F1264" s="535">
        <f>265200+117823</f>
        <v>383023</v>
      </c>
    </row>
    <row r="1265" spans="1:6" ht="17.100000000000001" customHeight="1">
      <c r="A1265" s="530"/>
      <c r="B1265" s="1268"/>
      <c r="C1265" s="1269"/>
      <c r="D1265" s="537" t="s">
        <v>340</v>
      </c>
      <c r="E1265" s="538" t="s">
        <v>599</v>
      </c>
      <c r="F1265" s="535">
        <f>46800+21977</f>
        <v>68777</v>
      </c>
    </row>
    <row r="1266" spans="1:6" ht="17.100000000000001" customHeight="1">
      <c r="A1266" s="530"/>
      <c r="B1266" s="1268"/>
      <c r="C1266" s="1269"/>
      <c r="D1266" s="537" t="s">
        <v>372</v>
      </c>
      <c r="E1266" s="538" t="s">
        <v>603</v>
      </c>
      <c r="F1266" s="535">
        <f>239375+80268</f>
        <v>319643</v>
      </c>
    </row>
    <row r="1267" spans="1:6" ht="17.100000000000001" customHeight="1">
      <c r="A1267" s="530"/>
      <c r="B1267" s="1268"/>
      <c r="C1267" s="1269"/>
      <c r="D1267" s="537" t="s">
        <v>373</v>
      </c>
      <c r="E1267" s="538" t="s">
        <v>603</v>
      </c>
      <c r="F1267" s="535">
        <f>42243+14972</f>
        <v>57215</v>
      </c>
    </row>
    <row r="1268" spans="1:6" ht="17.100000000000001" customHeight="1">
      <c r="A1268" s="530"/>
      <c r="B1268" s="1268"/>
      <c r="C1268" s="1269"/>
      <c r="D1268" s="537" t="s">
        <v>374</v>
      </c>
      <c r="E1268" s="538" t="s">
        <v>607</v>
      </c>
      <c r="F1268" s="535">
        <f>5223+1536</f>
        <v>6759</v>
      </c>
    </row>
    <row r="1269" spans="1:6" ht="17.100000000000001" customHeight="1">
      <c r="A1269" s="530"/>
      <c r="B1269" s="1268"/>
      <c r="C1269" s="1269"/>
      <c r="D1269" s="537" t="s">
        <v>375</v>
      </c>
      <c r="E1269" s="538" t="s">
        <v>607</v>
      </c>
      <c r="F1269" s="535">
        <f>922+286</f>
        <v>1208</v>
      </c>
    </row>
    <row r="1270" spans="1:6" ht="17.100000000000001" customHeight="1">
      <c r="A1270" s="530"/>
      <c r="B1270" s="1268"/>
      <c r="C1270" s="1269"/>
      <c r="D1270" s="537" t="s">
        <v>341</v>
      </c>
      <c r="E1270" s="538" t="s">
        <v>608</v>
      </c>
      <c r="F1270" s="535">
        <f>377464+124237</f>
        <v>501701</v>
      </c>
    </row>
    <row r="1271" spans="1:6" ht="17.100000000000001" customHeight="1">
      <c r="A1271" s="530"/>
      <c r="B1271" s="1268"/>
      <c r="C1271" s="1269"/>
      <c r="D1271" s="537" t="s">
        <v>342</v>
      </c>
      <c r="E1271" s="538" t="s">
        <v>608</v>
      </c>
      <c r="F1271" s="535">
        <f>66611+23173</f>
        <v>89784</v>
      </c>
    </row>
    <row r="1272" spans="1:6" ht="16.5" customHeight="1">
      <c r="A1272" s="530"/>
      <c r="B1272" s="1268"/>
      <c r="C1272" s="1269"/>
      <c r="D1272" s="537" t="s">
        <v>459</v>
      </c>
      <c r="E1272" s="538" t="s">
        <v>610</v>
      </c>
      <c r="F1272" s="535">
        <f>19550+5478</f>
        <v>25028</v>
      </c>
    </row>
    <row r="1273" spans="1:6" ht="16.5" customHeight="1">
      <c r="A1273" s="530"/>
      <c r="B1273" s="1268"/>
      <c r="C1273" s="1269"/>
      <c r="D1273" s="537" t="s">
        <v>433</v>
      </c>
      <c r="E1273" s="538" t="s">
        <v>610</v>
      </c>
      <c r="F1273" s="535">
        <f>3450+1022</f>
        <v>4472</v>
      </c>
    </row>
    <row r="1274" spans="1:6" ht="17.100000000000001" customHeight="1">
      <c r="A1274" s="530"/>
      <c r="B1274" s="1268"/>
      <c r="C1274" s="1269"/>
      <c r="D1274" s="537" t="s">
        <v>354</v>
      </c>
      <c r="E1274" s="538" t="s">
        <v>649</v>
      </c>
      <c r="F1274" s="539">
        <v>139062</v>
      </c>
    </row>
    <row r="1275" spans="1:6" ht="17.100000000000001" customHeight="1">
      <c r="A1275" s="530"/>
      <c r="B1275" s="1268"/>
      <c r="C1275" s="1269"/>
      <c r="D1275" s="537" t="s">
        <v>355</v>
      </c>
      <c r="E1275" s="538" t="s">
        <v>649</v>
      </c>
      <c r="F1275" s="539">
        <v>25938</v>
      </c>
    </row>
    <row r="1276" spans="1:6" ht="16.5" customHeight="1">
      <c r="A1276" s="530"/>
      <c r="B1276" s="1268"/>
      <c r="C1276" s="1269"/>
      <c r="D1276" s="537" t="s">
        <v>460</v>
      </c>
      <c r="E1276" s="538" t="s">
        <v>612</v>
      </c>
      <c r="F1276" s="539">
        <f>397800+190051</f>
        <v>587851</v>
      </c>
    </row>
    <row r="1277" spans="1:6" ht="16.5" customHeight="1">
      <c r="A1277" s="530"/>
      <c r="B1277" s="1268"/>
      <c r="C1277" s="1269"/>
      <c r="D1277" s="537" t="s">
        <v>461</v>
      </c>
      <c r="E1277" s="538" t="s">
        <v>612</v>
      </c>
      <c r="F1277" s="539">
        <f>70200+35449</f>
        <v>105649</v>
      </c>
    </row>
    <row r="1278" spans="1:6" ht="17.100000000000001" customHeight="1">
      <c r="A1278" s="530"/>
      <c r="B1278" s="1268"/>
      <c r="C1278" s="1269"/>
      <c r="D1278" s="537" t="s">
        <v>345</v>
      </c>
      <c r="E1278" s="538" t="s">
        <v>614</v>
      </c>
      <c r="F1278" s="539">
        <f>83279+46965</f>
        <v>130244</v>
      </c>
    </row>
    <row r="1279" spans="1:6" ht="17.100000000000001" customHeight="1">
      <c r="A1279" s="530"/>
      <c r="B1279" s="1268"/>
      <c r="C1279" s="1269"/>
      <c r="D1279" s="537" t="s">
        <v>346</v>
      </c>
      <c r="E1279" s="538" t="s">
        <v>614</v>
      </c>
      <c r="F1279" s="539">
        <f>14696+8760</f>
        <v>23456</v>
      </c>
    </row>
    <row r="1280" spans="1:6" ht="17.100000000000001" customHeight="1">
      <c r="A1280" s="530"/>
      <c r="B1280" s="540"/>
      <c r="C1280" s="541"/>
      <c r="D1280" s="537" t="s">
        <v>376</v>
      </c>
      <c r="E1280" s="538" t="s">
        <v>624</v>
      </c>
      <c r="F1280" s="539">
        <f>3230+549</f>
        <v>3779</v>
      </c>
    </row>
    <row r="1281" spans="1:6" ht="17.100000000000001" customHeight="1">
      <c r="A1281" s="530"/>
      <c r="B1281" s="540"/>
      <c r="C1281" s="541"/>
      <c r="D1281" s="537" t="s">
        <v>377</v>
      </c>
      <c r="E1281" s="538" t="s">
        <v>624</v>
      </c>
      <c r="F1281" s="539">
        <f>570+102</f>
        <v>672</v>
      </c>
    </row>
    <row r="1282" spans="1:6" ht="17.100000000000001" customHeight="1">
      <c r="A1282" s="530"/>
      <c r="B1282" s="1268"/>
      <c r="C1282" s="1269"/>
      <c r="D1282" s="537" t="s">
        <v>378</v>
      </c>
      <c r="E1282" s="538" t="s">
        <v>628</v>
      </c>
      <c r="F1282" s="539">
        <f>198900+53096</f>
        <v>251996</v>
      </c>
    </row>
    <row r="1283" spans="1:6" ht="17.100000000000001" customHeight="1">
      <c r="A1283" s="530"/>
      <c r="B1283" s="1268"/>
      <c r="C1283" s="1269"/>
      <c r="D1283" s="537" t="s">
        <v>379</v>
      </c>
      <c r="E1283" s="538" t="s">
        <v>628</v>
      </c>
      <c r="F1283" s="539">
        <f>35100+9904</f>
        <v>45004</v>
      </c>
    </row>
    <row r="1284" spans="1:6" ht="17.100000000000001" customHeight="1">
      <c r="A1284" s="530"/>
      <c r="B1284" s="540"/>
      <c r="C1284" s="541"/>
      <c r="D1284" s="1268"/>
      <c r="E1284" s="1270"/>
      <c r="F1284" s="1271"/>
    </row>
    <row r="1285" spans="1:6" ht="17.100000000000001" customHeight="1">
      <c r="A1285" s="530"/>
      <c r="B1285" s="540"/>
      <c r="C1285" s="541"/>
      <c r="D1285" s="1318" t="s">
        <v>636</v>
      </c>
      <c r="E1285" s="1319"/>
      <c r="F1285" s="534">
        <f>F1286</f>
        <v>3855309</v>
      </c>
    </row>
    <row r="1286" spans="1:6" ht="17.100000000000001" customHeight="1">
      <c r="A1286" s="530"/>
      <c r="B1286" s="540"/>
      <c r="C1286" s="541"/>
      <c r="D1286" s="1293" t="s">
        <v>637</v>
      </c>
      <c r="E1286" s="1294"/>
      <c r="F1286" s="539">
        <f>SUM(F1287:F1291)</f>
        <v>3855309</v>
      </c>
    </row>
    <row r="1287" spans="1:6" ht="17.100000000000001" customHeight="1">
      <c r="A1287" s="530"/>
      <c r="B1287" s="1268"/>
      <c r="C1287" s="1269"/>
      <c r="D1287" s="537" t="s">
        <v>471</v>
      </c>
      <c r="E1287" s="538" t="s">
        <v>638</v>
      </c>
      <c r="F1287" s="539">
        <v>2061234</v>
      </c>
    </row>
    <row r="1288" spans="1:6" ht="17.100000000000001" customHeight="1">
      <c r="A1288" s="530"/>
      <c r="B1288" s="540"/>
      <c r="C1288" s="541"/>
      <c r="D1288" s="537" t="s">
        <v>414</v>
      </c>
      <c r="E1288" s="538" t="s">
        <v>638</v>
      </c>
      <c r="F1288" s="539">
        <v>1485864</v>
      </c>
    </row>
    <row r="1289" spans="1:6">
      <c r="A1289" s="530"/>
      <c r="B1289" s="540"/>
      <c r="C1289" s="541"/>
      <c r="D1289" s="537" t="s">
        <v>472</v>
      </c>
      <c r="E1289" s="538" t="s">
        <v>638</v>
      </c>
      <c r="F1289" s="539">
        <v>262211</v>
      </c>
    </row>
    <row r="1290" spans="1:6" ht="17.100000000000001" customHeight="1">
      <c r="A1290" s="530"/>
      <c r="B1290" s="540"/>
      <c r="C1290" s="541"/>
      <c r="D1290" s="537" t="s">
        <v>380</v>
      </c>
      <c r="E1290" s="538" t="s">
        <v>655</v>
      </c>
      <c r="F1290" s="539">
        <v>39100</v>
      </c>
    </row>
    <row r="1291" spans="1:6" ht="17.100000000000001" customHeight="1">
      <c r="A1291" s="530"/>
      <c r="B1291" s="540"/>
      <c r="C1291" s="541"/>
      <c r="D1291" s="537" t="s">
        <v>689</v>
      </c>
      <c r="E1291" s="538" t="s">
        <v>655</v>
      </c>
      <c r="F1291" s="539">
        <v>6900</v>
      </c>
    </row>
    <row r="1292" spans="1:6" ht="17.100000000000001" customHeight="1">
      <c r="A1292" s="530"/>
      <c r="B1292" s="540"/>
      <c r="C1292" s="541"/>
      <c r="D1292" s="1268"/>
      <c r="E1292" s="1315"/>
      <c r="F1292" s="1316"/>
    </row>
    <row r="1293" spans="1:6" ht="20.25" customHeight="1">
      <c r="A1293" s="530"/>
      <c r="B1293" s="540"/>
      <c r="C1293" s="541"/>
      <c r="D1293" s="1266" t="s">
        <v>641</v>
      </c>
      <c r="E1293" s="1297"/>
      <c r="F1293" s="539">
        <f>SUM(F1294:F1298)</f>
        <v>3855309</v>
      </c>
    </row>
    <row r="1294" spans="1:6" ht="20.25" customHeight="1">
      <c r="A1294" s="530"/>
      <c r="B1294" s="540"/>
      <c r="C1294" s="541"/>
      <c r="D1294" s="537" t="s">
        <v>471</v>
      </c>
      <c r="E1294" s="538" t="s">
        <v>638</v>
      </c>
      <c r="F1294" s="539">
        <v>2061234</v>
      </c>
    </row>
    <row r="1295" spans="1:6" ht="12.75" customHeight="1">
      <c r="A1295" s="530"/>
      <c r="B1295" s="540"/>
      <c r="C1295" s="541"/>
      <c r="D1295" s="537" t="s">
        <v>414</v>
      </c>
      <c r="E1295" s="538" t="s">
        <v>638</v>
      </c>
      <c r="F1295" s="539">
        <v>1485864</v>
      </c>
    </row>
    <row r="1296" spans="1:6" ht="14.25" customHeight="1">
      <c r="A1296" s="530"/>
      <c r="B1296" s="540"/>
      <c r="C1296" s="541"/>
      <c r="D1296" s="537" t="s">
        <v>472</v>
      </c>
      <c r="E1296" s="538" t="s">
        <v>638</v>
      </c>
      <c r="F1296" s="539">
        <v>262211</v>
      </c>
    </row>
    <row r="1297" spans="1:9" ht="17.100000000000001" customHeight="1">
      <c r="A1297" s="530"/>
      <c r="B1297" s="540"/>
      <c r="C1297" s="541"/>
      <c r="D1297" s="557" t="s">
        <v>380</v>
      </c>
      <c r="E1297" s="582" t="s">
        <v>655</v>
      </c>
      <c r="F1297" s="539">
        <v>39100</v>
      </c>
    </row>
    <row r="1298" spans="1:9" ht="17.100000000000001" customHeight="1">
      <c r="A1298" s="530"/>
      <c r="B1298" s="540"/>
      <c r="C1298" s="541"/>
      <c r="D1298" s="537" t="s">
        <v>689</v>
      </c>
      <c r="E1298" s="538" t="s">
        <v>655</v>
      </c>
      <c r="F1298" s="539">
        <v>6900</v>
      </c>
    </row>
    <row r="1299" spans="1:9" ht="17.100000000000001" customHeight="1">
      <c r="A1299" s="530"/>
      <c r="B1299" s="1295" t="s">
        <v>512</v>
      </c>
      <c r="C1299" s="1296"/>
      <c r="D1299" s="542"/>
      <c r="E1299" s="543" t="s">
        <v>238</v>
      </c>
      <c r="F1299" s="544">
        <f>F1300</f>
        <v>8571683</v>
      </c>
    </row>
    <row r="1300" spans="1:9" ht="17.100000000000001" customHeight="1">
      <c r="A1300" s="530"/>
      <c r="B1300" s="1281"/>
      <c r="C1300" s="1282"/>
      <c r="D1300" s="1285" t="s">
        <v>583</v>
      </c>
      <c r="E1300" s="1286"/>
      <c r="F1300" s="534">
        <f>F1301+F1305</f>
        <v>8571683</v>
      </c>
    </row>
    <row r="1301" spans="1:9" ht="17.100000000000001" customHeight="1">
      <c r="A1301" s="530"/>
      <c r="B1301" s="1283"/>
      <c r="C1301" s="1284"/>
      <c r="D1301" s="1287" t="s">
        <v>643</v>
      </c>
      <c r="E1301" s="1291"/>
      <c r="F1301" s="539">
        <f>F1302+F1303</f>
        <v>8452583</v>
      </c>
    </row>
    <row r="1302" spans="1:9" ht="53.25" customHeight="1">
      <c r="A1302" s="530"/>
      <c r="B1302" s="1283"/>
      <c r="C1302" s="1284"/>
      <c r="D1302" s="551" t="s">
        <v>317</v>
      </c>
      <c r="E1302" s="568" t="s">
        <v>673</v>
      </c>
      <c r="F1302" s="553">
        <f>7364499+821000</f>
        <v>8185499</v>
      </c>
      <c r="I1302" s="514" t="s">
        <v>783</v>
      </c>
    </row>
    <row r="1303" spans="1:9" ht="51">
      <c r="A1303" s="530"/>
      <c r="B1303" s="1283"/>
      <c r="C1303" s="1312"/>
      <c r="D1303" s="548" t="s">
        <v>466</v>
      </c>
      <c r="E1303" s="576" t="s">
        <v>727</v>
      </c>
      <c r="F1303" s="539">
        <v>267084</v>
      </c>
      <c r="I1303" s="514" t="s">
        <v>783</v>
      </c>
    </row>
    <row r="1304" spans="1:9">
      <c r="A1304" s="530"/>
      <c r="B1304" s="1283"/>
      <c r="C1304" s="1284"/>
      <c r="D1304" s="1268"/>
      <c r="E1304" s="1270"/>
      <c r="F1304" s="1271"/>
    </row>
    <row r="1305" spans="1:9">
      <c r="A1305" s="530"/>
      <c r="B1305" s="1283"/>
      <c r="C1305" s="1284"/>
      <c r="D1305" s="1287" t="s">
        <v>647</v>
      </c>
      <c r="E1305" s="1291"/>
      <c r="F1305" s="539">
        <f>SUM(F1306:F1323)</f>
        <v>119100</v>
      </c>
    </row>
    <row r="1306" spans="1:9">
      <c r="A1306" s="530"/>
      <c r="B1306" s="1268"/>
      <c r="C1306" s="1269"/>
      <c r="D1306" s="537" t="s">
        <v>362</v>
      </c>
      <c r="E1306" s="538" t="s">
        <v>586</v>
      </c>
      <c r="F1306" s="539">
        <v>22646</v>
      </c>
    </row>
    <row r="1307" spans="1:9">
      <c r="A1307" s="530"/>
      <c r="B1307" s="1268"/>
      <c r="C1307" s="1269"/>
      <c r="D1307" s="537" t="s">
        <v>363</v>
      </c>
      <c r="E1307" s="538" t="s">
        <v>586</v>
      </c>
      <c r="F1307" s="539">
        <v>3997</v>
      </c>
    </row>
    <row r="1308" spans="1:9">
      <c r="A1308" s="530"/>
      <c r="B1308" s="1268"/>
      <c r="C1308" s="1269"/>
      <c r="D1308" s="537" t="s">
        <v>334</v>
      </c>
      <c r="E1308" s="538" t="s">
        <v>590</v>
      </c>
      <c r="F1308" s="539">
        <v>3872</v>
      </c>
    </row>
    <row r="1309" spans="1:9">
      <c r="A1309" s="530"/>
      <c r="B1309" s="1268"/>
      <c r="C1309" s="1269"/>
      <c r="D1309" s="537" t="s">
        <v>335</v>
      </c>
      <c r="E1309" s="538" t="s">
        <v>590</v>
      </c>
      <c r="F1309" s="539">
        <v>683</v>
      </c>
    </row>
    <row r="1310" spans="1:9">
      <c r="A1310" s="530"/>
      <c r="B1310" s="1268"/>
      <c r="C1310" s="1269"/>
      <c r="D1310" s="537" t="s">
        <v>366</v>
      </c>
      <c r="E1310" s="538" t="s">
        <v>592</v>
      </c>
      <c r="F1310" s="539">
        <v>554</v>
      </c>
    </row>
    <row r="1311" spans="1:9">
      <c r="A1311" s="530"/>
      <c r="B1311" s="1268"/>
      <c r="C1311" s="1269"/>
      <c r="D1311" s="537" t="s">
        <v>367</v>
      </c>
      <c r="E1311" s="538" t="s">
        <v>592</v>
      </c>
      <c r="F1311" s="539">
        <v>98</v>
      </c>
    </row>
    <row r="1312" spans="1:9">
      <c r="A1312" s="530"/>
      <c r="B1312" s="1268"/>
      <c r="C1312" s="1269"/>
      <c r="D1312" s="537" t="s">
        <v>339</v>
      </c>
      <c r="E1312" s="538" t="s">
        <v>599</v>
      </c>
      <c r="F1312" s="539">
        <v>5482</v>
      </c>
    </row>
    <row r="1313" spans="1:6">
      <c r="A1313" s="530"/>
      <c r="B1313" s="1268"/>
      <c r="C1313" s="1269"/>
      <c r="D1313" s="537" t="s">
        <v>340</v>
      </c>
      <c r="E1313" s="538" t="s">
        <v>599</v>
      </c>
      <c r="F1313" s="539">
        <v>968</v>
      </c>
    </row>
    <row r="1314" spans="1:6">
      <c r="A1314" s="530"/>
      <c r="B1314" s="1268"/>
      <c r="C1314" s="1269"/>
      <c r="D1314" s="537" t="s">
        <v>341</v>
      </c>
      <c r="E1314" s="538" t="s">
        <v>608</v>
      </c>
      <c r="F1314" s="539">
        <v>66020</v>
      </c>
    </row>
    <row r="1315" spans="1:6">
      <c r="A1315" s="530"/>
      <c r="B1315" s="1268"/>
      <c r="C1315" s="1269"/>
      <c r="D1315" s="537" t="s">
        <v>342</v>
      </c>
      <c r="E1315" s="538" t="s">
        <v>608</v>
      </c>
      <c r="F1315" s="539">
        <v>11650</v>
      </c>
    </row>
    <row r="1316" spans="1:6">
      <c r="A1316" s="530"/>
      <c r="B1316" s="1268"/>
      <c r="C1316" s="1269"/>
      <c r="D1316" s="537" t="s">
        <v>459</v>
      </c>
      <c r="E1316" s="538" t="s">
        <v>838</v>
      </c>
      <c r="F1316" s="539">
        <v>553</v>
      </c>
    </row>
    <row r="1317" spans="1:6">
      <c r="A1317" s="530"/>
      <c r="B1317" s="1268"/>
      <c r="C1317" s="1269"/>
      <c r="D1317" s="537" t="s">
        <v>433</v>
      </c>
      <c r="E1317" s="538" t="s">
        <v>838</v>
      </c>
      <c r="F1317" s="539">
        <v>97</v>
      </c>
    </row>
    <row r="1318" spans="1:6">
      <c r="A1318" s="530"/>
      <c r="B1318" s="540"/>
      <c r="C1318" s="541"/>
      <c r="D1318" s="537" t="s">
        <v>343</v>
      </c>
      <c r="E1318" s="538" t="s">
        <v>675</v>
      </c>
      <c r="F1318" s="539">
        <v>1088</v>
      </c>
    </row>
    <row r="1319" spans="1:6">
      <c r="A1319" s="530"/>
      <c r="B1319" s="540"/>
      <c r="C1319" s="541"/>
      <c r="D1319" s="537" t="s">
        <v>344</v>
      </c>
      <c r="E1319" s="538" t="s">
        <v>675</v>
      </c>
      <c r="F1319" s="539">
        <v>192</v>
      </c>
    </row>
    <row r="1320" spans="1:6">
      <c r="A1320" s="530"/>
      <c r="B1320" s="1268"/>
      <c r="C1320" s="1269"/>
      <c r="D1320" s="537" t="s">
        <v>345</v>
      </c>
      <c r="E1320" s="538" t="s">
        <v>614</v>
      </c>
      <c r="F1320" s="539">
        <v>510</v>
      </c>
    </row>
    <row r="1321" spans="1:6">
      <c r="A1321" s="530"/>
      <c r="B1321" s="1268"/>
      <c r="C1321" s="1269"/>
      <c r="D1321" s="537" t="s">
        <v>346</v>
      </c>
      <c r="E1321" s="538" t="s">
        <v>614</v>
      </c>
      <c r="F1321" s="539">
        <v>90</v>
      </c>
    </row>
    <row r="1322" spans="1:6">
      <c r="A1322" s="530"/>
      <c r="B1322" s="1268"/>
      <c r="C1322" s="1269"/>
      <c r="D1322" s="537" t="s">
        <v>347</v>
      </c>
      <c r="E1322" s="538" t="s">
        <v>699</v>
      </c>
      <c r="F1322" s="539">
        <v>510</v>
      </c>
    </row>
    <row r="1323" spans="1:6" ht="13.5" thickBot="1">
      <c r="A1323" s="530"/>
      <c r="B1323" s="1268"/>
      <c r="C1323" s="1269"/>
      <c r="D1323" s="551" t="s">
        <v>348</v>
      </c>
      <c r="E1323" s="552" t="s">
        <v>699</v>
      </c>
      <c r="F1323" s="553">
        <v>90</v>
      </c>
    </row>
    <row r="1324" spans="1:6" ht="17.100000000000001" customHeight="1" thickBot="1">
      <c r="A1324" s="526" t="s">
        <v>890</v>
      </c>
      <c r="B1324" s="1277"/>
      <c r="C1324" s="1278"/>
      <c r="D1324" s="527"/>
      <c r="E1324" s="528" t="s">
        <v>891</v>
      </c>
      <c r="F1324" s="529">
        <f>SUM(F1325,F1345)</f>
        <v>2728213</v>
      </c>
    </row>
    <row r="1325" spans="1:6" ht="17.100000000000001" customHeight="1">
      <c r="A1325" s="530"/>
      <c r="B1325" s="1279" t="s">
        <v>892</v>
      </c>
      <c r="C1325" s="1280"/>
      <c r="D1325" s="531"/>
      <c r="E1325" s="532" t="s">
        <v>893</v>
      </c>
      <c r="F1325" s="533">
        <f>F1326</f>
        <v>775713</v>
      </c>
    </row>
    <row r="1326" spans="1:6" ht="17.100000000000001" customHeight="1">
      <c r="A1326" s="530"/>
      <c r="B1326" s="540"/>
      <c r="C1326" s="541"/>
      <c r="D1326" s="1285" t="s">
        <v>583</v>
      </c>
      <c r="E1326" s="1286"/>
      <c r="F1326" s="534">
        <f>F1327+F1343</f>
        <v>775713</v>
      </c>
    </row>
    <row r="1327" spans="1:6" ht="17.100000000000001" customHeight="1">
      <c r="A1327" s="530"/>
      <c r="B1327" s="540"/>
      <c r="C1327" s="541"/>
      <c r="D1327" s="1459" t="s">
        <v>584</v>
      </c>
      <c r="E1327" s="1460"/>
      <c r="F1327" s="539">
        <f>F1328+F1334</f>
        <v>772259</v>
      </c>
    </row>
    <row r="1328" spans="1:6" ht="17.100000000000001" customHeight="1">
      <c r="A1328" s="530"/>
      <c r="B1328" s="540"/>
      <c r="C1328" s="541"/>
      <c r="D1328" s="1474" t="s">
        <v>585</v>
      </c>
      <c r="E1328" s="1475"/>
      <c r="F1328" s="539">
        <f>SUM(F1329:F1332)</f>
        <v>649308</v>
      </c>
    </row>
    <row r="1329" spans="1:6" ht="17.100000000000001" customHeight="1">
      <c r="A1329" s="530"/>
      <c r="B1329" s="1268"/>
      <c r="C1329" s="1269"/>
      <c r="D1329" s="537" t="s">
        <v>527</v>
      </c>
      <c r="E1329" s="538" t="s">
        <v>586</v>
      </c>
      <c r="F1329" s="539">
        <v>502036</v>
      </c>
    </row>
    <row r="1330" spans="1:6" ht="17.100000000000001" customHeight="1">
      <c r="A1330" s="530"/>
      <c r="B1330" s="1268"/>
      <c r="C1330" s="1269"/>
      <c r="D1330" s="537" t="s">
        <v>587</v>
      </c>
      <c r="E1330" s="538" t="s">
        <v>588</v>
      </c>
      <c r="F1330" s="539">
        <v>42288</v>
      </c>
    </row>
    <row r="1331" spans="1:6" ht="17.100000000000001" customHeight="1">
      <c r="A1331" s="530"/>
      <c r="B1331" s="1268"/>
      <c r="C1331" s="1269"/>
      <c r="D1331" s="537" t="s">
        <v>589</v>
      </c>
      <c r="E1331" s="538" t="s">
        <v>590</v>
      </c>
      <c r="F1331" s="539">
        <v>91887</v>
      </c>
    </row>
    <row r="1332" spans="1:6" ht="17.100000000000001" customHeight="1">
      <c r="A1332" s="530"/>
      <c r="B1332" s="1268"/>
      <c r="C1332" s="1269"/>
      <c r="D1332" s="537" t="s">
        <v>591</v>
      </c>
      <c r="E1332" s="538" t="s">
        <v>592</v>
      </c>
      <c r="F1332" s="539">
        <v>13097</v>
      </c>
    </row>
    <row r="1333" spans="1:6" ht="17.100000000000001" customHeight="1">
      <c r="A1333" s="530"/>
      <c r="B1333" s="540"/>
      <c r="C1333" s="541"/>
      <c r="D1333" s="1268"/>
      <c r="E1333" s="1270"/>
      <c r="F1333" s="1271"/>
    </row>
    <row r="1334" spans="1:6" ht="17.100000000000001" customHeight="1">
      <c r="A1334" s="530"/>
      <c r="B1334" s="540"/>
      <c r="C1334" s="541"/>
      <c r="D1334" s="1266" t="s">
        <v>595</v>
      </c>
      <c r="E1334" s="1267"/>
      <c r="F1334" s="539">
        <f>SUM(F1335:F1341)</f>
        <v>122951</v>
      </c>
    </row>
    <row r="1335" spans="1:6" ht="17.100000000000001" customHeight="1">
      <c r="A1335" s="530"/>
      <c r="B1335" s="1268"/>
      <c r="C1335" s="1269"/>
      <c r="D1335" s="537" t="s">
        <v>598</v>
      </c>
      <c r="E1335" s="538" t="s">
        <v>599</v>
      </c>
      <c r="F1335" s="539">
        <v>53538</v>
      </c>
    </row>
    <row r="1336" spans="1:6" ht="17.100000000000001" customHeight="1">
      <c r="A1336" s="530"/>
      <c r="B1336" s="1268"/>
      <c r="C1336" s="1269"/>
      <c r="D1336" s="537" t="s">
        <v>602</v>
      </c>
      <c r="E1336" s="538" t="s">
        <v>603</v>
      </c>
      <c r="F1336" s="539">
        <v>38190</v>
      </c>
    </row>
    <row r="1337" spans="1:6" ht="17.100000000000001" customHeight="1">
      <c r="A1337" s="530"/>
      <c r="B1337" s="1268"/>
      <c r="C1337" s="1269"/>
      <c r="D1337" s="537" t="s">
        <v>606</v>
      </c>
      <c r="E1337" s="538" t="s">
        <v>607</v>
      </c>
      <c r="F1337" s="539">
        <v>1530</v>
      </c>
    </row>
    <row r="1338" spans="1:6" ht="17.100000000000001" customHeight="1">
      <c r="A1338" s="530"/>
      <c r="B1338" s="1268"/>
      <c r="C1338" s="1269"/>
      <c r="D1338" s="537" t="s">
        <v>406</v>
      </c>
      <c r="E1338" s="538" t="s">
        <v>608</v>
      </c>
      <c r="F1338" s="539">
        <v>3198</v>
      </c>
    </row>
    <row r="1339" spans="1:6" ht="16.5" customHeight="1">
      <c r="A1339" s="530"/>
      <c r="B1339" s="1268"/>
      <c r="C1339" s="1269"/>
      <c r="D1339" s="537" t="s">
        <v>609</v>
      </c>
      <c r="E1339" s="538" t="s">
        <v>722</v>
      </c>
      <c r="F1339" s="539">
        <v>600</v>
      </c>
    </row>
    <row r="1340" spans="1:6" ht="17.100000000000001" customHeight="1">
      <c r="A1340" s="530"/>
      <c r="B1340" s="1268"/>
      <c r="C1340" s="1269"/>
      <c r="D1340" s="551" t="s">
        <v>617</v>
      </c>
      <c r="E1340" s="552" t="s">
        <v>618</v>
      </c>
      <c r="F1340" s="539">
        <v>24301</v>
      </c>
    </row>
    <row r="1341" spans="1:6" ht="17.100000000000001" customHeight="1">
      <c r="A1341" s="530"/>
      <c r="B1341" s="1268"/>
      <c r="C1341" s="1270"/>
      <c r="D1341" s="548" t="s">
        <v>623</v>
      </c>
      <c r="E1341" s="599" t="s">
        <v>894</v>
      </c>
      <c r="F1341" s="539">
        <v>1594</v>
      </c>
    </row>
    <row r="1342" spans="1:6" ht="17.100000000000001" customHeight="1">
      <c r="A1342" s="530"/>
      <c r="B1342" s="1268"/>
      <c r="C1342" s="1269"/>
      <c r="D1342" s="1268"/>
      <c r="E1342" s="1270"/>
      <c r="F1342" s="1271"/>
    </row>
    <row r="1343" spans="1:6" ht="17.100000000000001" customHeight="1">
      <c r="A1343" s="530"/>
      <c r="B1343" s="1268"/>
      <c r="C1343" s="1269"/>
      <c r="D1343" s="1293" t="s">
        <v>629</v>
      </c>
      <c r="E1343" s="1294"/>
      <c r="F1343" s="539">
        <f>F1344</f>
        <v>3454</v>
      </c>
    </row>
    <row r="1344" spans="1:6" ht="17.100000000000001" customHeight="1">
      <c r="A1344" s="530"/>
      <c r="B1344" s="1303"/>
      <c r="C1344" s="1334"/>
      <c r="D1344" s="537" t="s">
        <v>630</v>
      </c>
      <c r="E1344" s="538" t="s">
        <v>631</v>
      </c>
      <c r="F1344" s="539">
        <v>3454</v>
      </c>
    </row>
    <row r="1345" spans="1:6" ht="17.100000000000001" customHeight="1">
      <c r="A1345" s="530"/>
      <c r="B1345" s="1295" t="s">
        <v>428</v>
      </c>
      <c r="C1345" s="1296"/>
      <c r="D1345" s="542"/>
      <c r="E1345" s="543" t="s">
        <v>895</v>
      </c>
      <c r="F1345" s="544">
        <f>F1346</f>
        <v>1952500</v>
      </c>
    </row>
    <row r="1346" spans="1:6" ht="17.100000000000001" customHeight="1">
      <c r="A1346" s="530"/>
      <c r="B1346" s="1281"/>
      <c r="C1346" s="1282"/>
      <c r="D1346" s="1285" t="s">
        <v>583</v>
      </c>
      <c r="E1346" s="1286"/>
      <c r="F1346" s="534">
        <f>F1347</f>
        <v>1952500</v>
      </c>
    </row>
    <row r="1347" spans="1:6" ht="17.100000000000001" customHeight="1">
      <c r="A1347" s="530"/>
      <c r="B1347" s="1283"/>
      <c r="C1347" s="1284"/>
      <c r="D1347" s="1287" t="s">
        <v>647</v>
      </c>
      <c r="E1347" s="1291"/>
      <c r="F1347" s="539">
        <f>SUM(F1348:F1371)</f>
        <v>1952500</v>
      </c>
    </row>
    <row r="1348" spans="1:6">
      <c r="A1348" s="530"/>
      <c r="B1348" s="1283"/>
      <c r="C1348" s="1284"/>
      <c r="D1348" s="537" t="s">
        <v>429</v>
      </c>
      <c r="E1348" s="538" t="s">
        <v>833</v>
      </c>
      <c r="F1348" s="539">
        <v>1530000</v>
      </c>
    </row>
    <row r="1349" spans="1:6" ht="17.100000000000001" customHeight="1">
      <c r="A1349" s="530"/>
      <c r="B1349" s="1268"/>
      <c r="C1349" s="1269"/>
      <c r="D1349" s="537" t="s">
        <v>430</v>
      </c>
      <c r="E1349" s="538" t="s">
        <v>833</v>
      </c>
      <c r="F1349" s="539">
        <v>270000</v>
      </c>
    </row>
    <row r="1350" spans="1:6" ht="17.100000000000001" hidden="1" customHeight="1">
      <c r="A1350" s="530"/>
      <c r="B1350" s="1268"/>
      <c r="C1350" s="1269"/>
      <c r="D1350" s="537" t="s">
        <v>391</v>
      </c>
      <c r="E1350" s="538" t="s">
        <v>586</v>
      </c>
      <c r="F1350" s="539"/>
    </row>
    <row r="1351" spans="1:6" ht="17.100000000000001" customHeight="1">
      <c r="A1351" s="530"/>
      <c r="B1351" s="540"/>
      <c r="C1351" s="541"/>
      <c r="D1351" s="537" t="s">
        <v>391</v>
      </c>
      <c r="E1351" s="538" t="s">
        <v>586</v>
      </c>
      <c r="F1351" s="539">
        <v>97357</v>
      </c>
    </row>
    <row r="1352" spans="1:6" ht="17.100000000000001" customHeight="1">
      <c r="A1352" s="530"/>
      <c r="B1352" s="1268"/>
      <c r="C1352" s="1269"/>
      <c r="D1352" s="537" t="s">
        <v>363</v>
      </c>
      <c r="E1352" s="538" t="s">
        <v>586</v>
      </c>
      <c r="F1352" s="539">
        <v>17180</v>
      </c>
    </row>
    <row r="1353" spans="1:6" ht="17.100000000000001" hidden="1" customHeight="1">
      <c r="A1353" s="530"/>
      <c r="B1353" s="1268"/>
      <c r="C1353" s="1269"/>
      <c r="D1353" s="537" t="s">
        <v>393</v>
      </c>
      <c r="E1353" s="538" t="s">
        <v>590</v>
      </c>
      <c r="F1353" s="539"/>
    </row>
    <row r="1354" spans="1:6" ht="17.100000000000001" customHeight="1">
      <c r="A1354" s="530"/>
      <c r="B1354" s="540"/>
      <c r="C1354" s="541"/>
      <c r="D1354" s="537" t="s">
        <v>393</v>
      </c>
      <c r="E1354" s="538" t="s">
        <v>590</v>
      </c>
      <c r="F1354" s="539">
        <v>16921</v>
      </c>
    </row>
    <row r="1355" spans="1:6" ht="17.100000000000001" customHeight="1">
      <c r="A1355" s="530"/>
      <c r="B1355" s="1268"/>
      <c r="C1355" s="1269"/>
      <c r="D1355" s="537" t="s">
        <v>335</v>
      </c>
      <c r="E1355" s="538" t="s">
        <v>590</v>
      </c>
      <c r="F1355" s="539">
        <v>2986</v>
      </c>
    </row>
    <row r="1356" spans="1:6" ht="17.100000000000001" hidden="1" customHeight="1">
      <c r="A1356" s="530"/>
      <c r="B1356" s="1268"/>
      <c r="C1356" s="1269"/>
      <c r="D1356" s="537" t="s">
        <v>394</v>
      </c>
      <c r="E1356" s="538" t="s">
        <v>592</v>
      </c>
      <c r="F1356" s="539"/>
    </row>
    <row r="1357" spans="1:6" ht="17.100000000000001" customHeight="1">
      <c r="A1357" s="530"/>
      <c r="B1357" s="540"/>
      <c r="C1357" s="541"/>
      <c r="D1357" s="537" t="s">
        <v>394</v>
      </c>
      <c r="E1357" s="538" t="s">
        <v>592</v>
      </c>
      <c r="F1357" s="539">
        <v>2385</v>
      </c>
    </row>
    <row r="1358" spans="1:6" ht="17.100000000000001" customHeight="1">
      <c r="A1358" s="530"/>
      <c r="B1358" s="1268"/>
      <c r="C1358" s="1269"/>
      <c r="D1358" s="537" t="s">
        <v>367</v>
      </c>
      <c r="E1358" s="538" t="s">
        <v>592</v>
      </c>
      <c r="F1358" s="539">
        <v>421</v>
      </c>
    </row>
    <row r="1359" spans="1:6" ht="17.100000000000001" hidden="1" customHeight="1">
      <c r="A1359" s="530"/>
      <c r="B1359" s="1268"/>
      <c r="C1359" s="1269"/>
      <c r="D1359" s="537" t="s">
        <v>395</v>
      </c>
      <c r="E1359" s="538" t="s">
        <v>594</v>
      </c>
      <c r="F1359" s="539"/>
    </row>
    <row r="1360" spans="1:6" ht="17.100000000000001" hidden="1" customHeight="1">
      <c r="A1360" s="530"/>
      <c r="B1360" s="1268"/>
      <c r="C1360" s="1269"/>
      <c r="D1360" s="537" t="s">
        <v>337</v>
      </c>
      <c r="E1360" s="538" t="s">
        <v>594</v>
      </c>
      <c r="F1360" s="539"/>
    </row>
    <row r="1361" spans="1:7" ht="17.100000000000001" hidden="1" customHeight="1">
      <c r="A1361" s="530"/>
      <c r="B1361" s="1268"/>
      <c r="C1361" s="1269"/>
      <c r="D1361" s="537" t="s">
        <v>396</v>
      </c>
      <c r="E1361" s="538" t="s">
        <v>599</v>
      </c>
      <c r="F1361" s="539"/>
    </row>
    <row r="1362" spans="1:7" ht="17.100000000000001" customHeight="1">
      <c r="A1362" s="530"/>
      <c r="B1362" s="540"/>
      <c r="C1362" s="541"/>
      <c r="D1362" s="537" t="s">
        <v>396</v>
      </c>
      <c r="E1362" s="538" t="s">
        <v>599</v>
      </c>
      <c r="F1362" s="539">
        <v>7778</v>
      </c>
    </row>
    <row r="1363" spans="1:7" ht="17.100000000000001" customHeight="1">
      <c r="A1363" s="530"/>
      <c r="B1363" s="1268"/>
      <c r="C1363" s="1269"/>
      <c r="D1363" s="537" t="s">
        <v>340</v>
      </c>
      <c r="E1363" s="538" t="s">
        <v>599</v>
      </c>
      <c r="F1363" s="539">
        <v>1372</v>
      </c>
    </row>
    <row r="1364" spans="1:7" ht="17.100000000000001" customHeight="1">
      <c r="A1364" s="530"/>
      <c r="B1364" s="540"/>
      <c r="C1364" s="541"/>
      <c r="D1364" s="537" t="s">
        <v>431</v>
      </c>
      <c r="E1364" s="538" t="s">
        <v>603</v>
      </c>
      <c r="F1364" s="539">
        <v>2592</v>
      </c>
    </row>
    <row r="1365" spans="1:7" ht="17.100000000000001" customHeight="1">
      <c r="A1365" s="530"/>
      <c r="B1365" s="540"/>
      <c r="C1365" s="541"/>
      <c r="D1365" s="537" t="s">
        <v>373</v>
      </c>
      <c r="E1365" s="538" t="s">
        <v>603</v>
      </c>
      <c r="F1365" s="539">
        <v>458</v>
      </c>
    </row>
    <row r="1366" spans="1:7" ht="17.100000000000001" customHeight="1">
      <c r="A1366" s="530"/>
      <c r="B1366" s="540"/>
      <c r="C1366" s="541"/>
      <c r="D1366" s="537" t="s">
        <v>397</v>
      </c>
      <c r="E1366" s="538" t="s">
        <v>608</v>
      </c>
      <c r="F1366" s="539">
        <v>1296</v>
      </c>
    </row>
    <row r="1367" spans="1:7" ht="17.100000000000001" customHeight="1">
      <c r="A1367" s="530"/>
      <c r="B1367" s="540"/>
      <c r="C1367" s="541"/>
      <c r="D1367" s="537" t="s">
        <v>342</v>
      </c>
      <c r="E1367" s="538" t="s">
        <v>608</v>
      </c>
      <c r="F1367" s="539">
        <v>229</v>
      </c>
    </row>
    <row r="1368" spans="1:7" ht="17.100000000000001" customHeight="1">
      <c r="A1368" s="530"/>
      <c r="B1368" s="540"/>
      <c r="C1368" s="541"/>
      <c r="D1368" s="537" t="s">
        <v>432</v>
      </c>
      <c r="E1368" s="538" t="s">
        <v>722</v>
      </c>
      <c r="F1368" s="539">
        <v>1296</v>
      </c>
    </row>
    <row r="1369" spans="1:7" ht="17.100000000000001" customHeight="1" thickBot="1">
      <c r="A1369" s="530"/>
      <c r="B1369" s="540"/>
      <c r="C1369" s="541"/>
      <c r="D1369" s="537" t="s">
        <v>433</v>
      </c>
      <c r="E1369" s="538" t="s">
        <v>722</v>
      </c>
      <c r="F1369" s="539">
        <v>229</v>
      </c>
    </row>
    <row r="1370" spans="1:7" ht="17.100000000000001" hidden="1" customHeight="1">
      <c r="A1370" s="530"/>
      <c r="B1370" s="1268"/>
      <c r="C1370" s="1269"/>
      <c r="D1370" s="537" t="s">
        <v>399</v>
      </c>
      <c r="E1370" s="538" t="s">
        <v>649</v>
      </c>
      <c r="F1370" s="539">
        <v>0</v>
      </c>
    </row>
    <row r="1371" spans="1:7" ht="17.100000000000001" hidden="1" customHeight="1">
      <c r="A1371" s="530"/>
      <c r="B1371" s="1268"/>
      <c r="C1371" s="1269"/>
      <c r="D1371" s="551" t="s">
        <v>355</v>
      </c>
      <c r="E1371" s="552" t="s">
        <v>649</v>
      </c>
      <c r="F1371" s="553">
        <v>0</v>
      </c>
    </row>
    <row r="1372" spans="1:7" ht="13.5" thickBot="1">
      <c r="A1372" s="526" t="s">
        <v>215</v>
      </c>
      <c r="B1372" s="1277"/>
      <c r="C1372" s="1278"/>
      <c r="D1372" s="527"/>
      <c r="E1372" s="528" t="s">
        <v>896</v>
      </c>
      <c r="F1372" s="529">
        <f>F1373+F1399+F1430+F1436+F1440+F1467</f>
        <v>6644149</v>
      </c>
      <c r="G1372" s="564"/>
    </row>
    <row r="1373" spans="1:7" ht="12.75" customHeight="1">
      <c r="A1373" s="530"/>
      <c r="B1373" s="1279" t="s">
        <v>264</v>
      </c>
      <c r="C1373" s="1280"/>
      <c r="D1373" s="531"/>
      <c r="E1373" s="532" t="s">
        <v>281</v>
      </c>
      <c r="F1373" s="533">
        <f>F1374</f>
        <v>291000</v>
      </c>
      <c r="G1373" s="564"/>
    </row>
    <row r="1374" spans="1:7">
      <c r="A1374" s="530"/>
      <c r="B1374" s="540"/>
      <c r="C1374" s="541"/>
      <c r="D1374" s="1285" t="s">
        <v>583</v>
      </c>
      <c r="E1374" s="1286"/>
      <c r="F1374" s="534">
        <f>F1375+F1397</f>
        <v>291000</v>
      </c>
      <c r="G1374" s="564"/>
    </row>
    <row r="1375" spans="1:7">
      <c r="A1375" s="530"/>
      <c r="B1375" s="540"/>
      <c r="C1375" s="541"/>
      <c r="D1375" s="1459" t="s">
        <v>584</v>
      </c>
      <c r="E1375" s="1460"/>
      <c r="F1375" s="539">
        <f>F1376+F1382</f>
        <v>290300</v>
      </c>
      <c r="G1375" s="564"/>
    </row>
    <row r="1376" spans="1:7">
      <c r="A1376" s="530"/>
      <c r="B1376" s="540"/>
      <c r="C1376" s="541"/>
      <c r="D1376" s="1474" t="s">
        <v>585</v>
      </c>
      <c r="E1376" s="1475"/>
      <c r="F1376" s="539">
        <f>SUM(F1377:F1380)</f>
        <v>196878</v>
      </c>
      <c r="G1376" s="564"/>
    </row>
    <row r="1377" spans="1:7">
      <c r="A1377" s="530"/>
      <c r="B1377" s="1268"/>
      <c r="C1377" s="1269"/>
      <c r="D1377" s="537" t="s">
        <v>527</v>
      </c>
      <c r="E1377" s="538" t="s">
        <v>586</v>
      </c>
      <c r="F1377" s="539">
        <v>155220</v>
      </c>
      <c r="G1377" s="564"/>
    </row>
    <row r="1378" spans="1:7">
      <c r="A1378" s="530"/>
      <c r="B1378" s="1268"/>
      <c r="C1378" s="1269"/>
      <c r="D1378" s="537" t="s">
        <v>587</v>
      </c>
      <c r="E1378" s="538" t="s">
        <v>588</v>
      </c>
      <c r="F1378" s="539">
        <v>9696</v>
      </c>
      <c r="G1378" s="564"/>
    </row>
    <row r="1379" spans="1:7">
      <c r="A1379" s="530"/>
      <c r="B1379" s="1268"/>
      <c r="C1379" s="1269"/>
      <c r="D1379" s="537" t="s">
        <v>589</v>
      </c>
      <c r="E1379" s="538" t="s">
        <v>590</v>
      </c>
      <c r="F1379" s="539">
        <v>27921</v>
      </c>
      <c r="G1379" s="564"/>
    </row>
    <row r="1380" spans="1:7">
      <c r="A1380" s="530"/>
      <c r="B1380" s="1268"/>
      <c r="C1380" s="1269"/>
      <c r="D1380" s="537" t="s">
        <v>591</v>
      </c>
      <c r="E1380" s="538" t="s">
        <v>592</v>
      </c>
      <c r="F1380" s="539">
        <v>4041</v>
      </c>
      <c r="G1380" s="564"/>
    </row>
    <row r="1381" spans="1:7">
      <c r="A1381" s="530"/>
      <c r="B1381" s="540"/>
      <c r="C1381" s="541"/>
      <c r="D1381" s="1268"/>
      <c r="E1381" s="1270"/>
      <c r="F1381" s="1271"/>
      <c r="G1381" s="564"/>
    </row>
    <row r="1382" spans="1:7">
      <c r="A1382" s="530"/>
      <c r="B1382" s="540"/>
      <c r="C1382" s="541"/>
      <c r="D1382" s="1266" t="s">
        <v>595</v>
      </c>
      <c r="E1382" s="1267"/>
      <c r="F1382" s="539">
        <f>SUM(F1383:F1395)</f>
        <v>93422</v>
      </c>
      <c r="G1382" s="564"/>
    </row>
    <row r="1383" spans="1:7">
      <c r="A1383" s="530"/>
      <c r="B1383" s="540"/>
      <c r="C1383" s="541"/>
      <c r="D1383" s="537" t="s">
        <v>596</v>
      </c>
      <c r="E1383" s="538" t="s">
        <v>597</v>
      </c>
      <c r="F1383" s="539">
        <v>878</v>
      </c>
      <c r="G1383" s="564"/>
    </row>
    <row r="1384" spans="1:7">
      <c r="A1384" s="530"/>
      <c r="B1384" s="1268"/>
      <c r="C1384" s="1269"/>
      <c r="D1384" s="537" t="s">
        <v>598</v>
      </c>
      <c r="E1384" s="538" t="s">
        <v>599</v>
      </c>
      <c r="F1384" s="539">
        <v>7310</v>
      </c>
      <c r="G1384" s="564"/>
    </row>
    <row r="1385" spans="1:7">
      <c r="A1385" s="530"/>
      <c r="B1385" s="1268"/>
      <c r="C1385" s="1269"/>
      <c r="D1385" s="537" t="s">
        <v>602</v>
      </c>
      <c r="E1385" s="538" t="s">
        <v>603</v>
      </c>
      <c r="F1385" s="539">
        <v>4877</v>
      </c>
      <c r="G1385" s="564"/>
    </row>
    <row r="1386" spans="1:7">
      <c r="A1386" s="530"/>
      <c r="B1386" s="540"/>
      <c r="C1386" s="541"/>
      <c r="D1386" s="537" t="s">
        <v>604</v>
      </c>
      <c r="E1386" s="538" t="s">
        <v>605</v>
      </c>
      <c r="F1386" s="539">
        <v>157</v>
      </c>
      <c r="G1386" s="564"/>
    </row>
    <row r="1387" spans="1:7">
      <c r="A1387" s="530"/>
      <c r="B1387" s="1268"/>
      <c r="C1387" s="1269"/>
      <c r="D1387" s="537" t="s">
        <v>606</v>
      </c>
      <c r="E1387" s="538" t="s">
        <v>607</v>
      </c>
      <c r="F1387" s="539">
        <v>438</v>
      </c>
      <c r="G1387" s="564"/>
    </row>
    <row r="1388" spans="1:7">
      <c r="A1388" s="530"/>
      <c r="B1388" s="1268"/>
      <c r="C1388" s="1269"/>
      <c r="D1388" s="537" t="s">
        <v>406</v>
      </c>
      <c r="E1388" s="538" t="s">
        <v>608</v>
      </c>
      <c r="F1388" s="539">
        <v>58155</v>
      </c>
      <c r="G1388" s="564"/>
    </row>
    <row r="1389" spans="1:7">
      <c r="A1389" s="530"/>
      <c r="B1389" s="1268"/>
      <c r="C1389" s="1269"/>
      <c r="D1389" s="537" t="s">
        <v>609</v>
      </c>
      <c r="E1389" s="538" t="s">
        <v>722</v>
      </c>
      <c r="F1389" s="539">
        <v>1129</v>
      </c>
      <c r="G1389" s="564"/>
    </row>
    <row r="1390" spans="1:7">
      <c r="A1390" s="530"/>
      <c r="B1390" s="1268"/>
      <c r="C1390" s="1269"/>
      <c r="D1390" s="551" t="s">
        <v>685</v>
      </c>
      <c r="E1390" s="552" t="s">
        <v>897</v>
      </c>
      <c r="F1390" s="539">
        <v>3200</v>
      </c>
      <c r="G1390" s="564"/>
    </row>
    <row r="1391" spans="1:7">
      <c r="A1391" s="530"/>
      <c r="B1391" s="1268"/>
      <c r="C1391" s="1269"/>
      <c r="D1391" s="551" t="s">
        <v>611</v>
      </c>
      <c r="E1391" s="552" t="s">
        <v>612</v>
      </c>
      <c r="F1391" s="539">
        <v>3547</v>
      </c>
      <c r="G1391" s="564"/>
    </row>
    <row r="1392" spans="1:7">
      <c r="A1392" s="530"/>
      <c r="B1392" s="1268"/>
      <c r="C1392" s="1269"/>
      <c r="D1392" s="551" t="s">
        <v>617</v>
      </c>
      <c r="E1392" s="552" t="s">
        <v>618</v>
      </c>
      <c r="F1392" s="553">
        <v>12034</v>
      </c>
      <c r="G1392" s="564"/>
    </row>
    <row r="1393" spans="1:7">
      <c r="A1393" s="530"/>
      <c r="B1393" s="1268"/>
      <c r="C1393" s="1270"/>
      <c r="D1393" s="682" t="s">
        <v>619</v>
      </c>
      <c r="E1393" s="599" t="s">
        <v>620</v>
      </c>
      <c r="F1393" s="539">
        <v>754</v>
      </c>
      <c r="G1393" s="564"/>
    </row>
    <row r="1394" spans="1:7">
      <c r="A1394" s="530"/>
      <c r="B1394" s="1268"/>
      <c r="C1394" s="1270"/>
      <c r="D1394" s="548" t="s">
        <v>623</v>
      </c>
      <c r="E1394" s="599" t="s">
        <v>894</v>
      </c>
      <c r="F1394" s="539">
        <v>443</v>
      </c>
      <c r="G1394" s="564"/>
    </row>
    <row r="1395" spans="1:7">
      <c r="A1395" s="530"/>
      <c r="B1395" s="1268"/>
      <c r="C1395" s="1270"/>
      <c r="D1395" s="548" t="s">
        <v>627</v>
      </c>
      <c r="E1395" s="599" t="s">
        <v>775</v>
      </c>
      <c r="F1395" s="539">
        <v>500</v>
      </c>
      <c r="G1395" s="564"/>
    </row>
    <row r="1396" spans="1:7">
      <c r="A1396" s="530"/>
      <c r="B1396" s="1268"/>
      <c r="C1396" s="1269"/>
      <c r="D1396" s="1268"/>
      <c r="E1396" s="1270"/>
      <c r="F1396" s="1271"/>
      <c r="G1396" s="564"/>
    </row>
    <row r="1397" spans="1:7">
      <c r="A1397" s="530"/>
      <c r="B1397" s="1268"/>
      <c r="C1397" s="1269"/>
      <c r="D1397" s="1293" t="s">
        <v>629</v>
      </c>
      <c r="E1397" s="1294"/>
      <c r="F1397" s="539">
        <f>F1398</f>
        <v>700</v>
      </c>
      <c r="G1397" s="564"/>
    </row>
    <row r="1398" spans="1:7">
      <c r="A1398" s="530"/>
      <c r="B1398" s="1303"/>
      <c r="C1398" s="1334"/>
      <c r="D1398" s="537" t="s">
        <v>630</v>
      </c>
      <c r="E1398" s="538" t="s">
        <v>631</v>
      </c>
      <c r="F1398" s="539">
        <v>700</v>
      </c>
      <c r="G1398" s="564"/>
    </row>
    <row r="1399" spans="1:7" ht="29.25" customHeight="1">
      <c r="A1399" s="530"/>
      <c r="B1399" s="1295" t="s">
        <v>266</v>
      </c>
      <c r="C1399" s="1296"/>
      <c r="D1399" s="542"/>
      <c r="E1399" s="532" t="s">
        <v>898</v>
      </c>
      <c r="F1399" s="544">
        <f>F1400</f>
        <v>1879308</v>
      </c>
      <c r="G1399" s="564"/>
    </row>
    <row r="1400" spans="1:7" ht="12.75" customHeight="1">
      <c r="A1400" s="530"/>
      <c r="B1400" s="540"/>
      <c r="C1400" s="541"/>
      <c r="D1400" s="1285" t="s">
        <v>583</v>
      </c>
      <c r="E1400" s="1286"/>
      <c r="F1400" s="534">
        <f>SUM(F1401,F1425,F1428)</f>
        <v>1879308</v>
      </c>
      <c r="G1400" s="564"/>
    </row>
    <row r="1401" spans="1:7" ht="12.75" customHeight="1">
      <c r="A1401" s="530"/>
      <c r="B1401" s="540"/>
      <c r="C1401" s="541"/>
      <c r="D1401" s="1459" t="s">
        <v>584</v>
      </c>
      <c r="E1401" s="1460"/>
      <c r="F1401" s="539">
        <f>F1402+F1408</f>
        <v>1877100</v>
      </c>
      <c r="G1401" s="564"/>
    </row>
    <row r="1402" spans="1:7">
      <c r="A1402" s="530"/>
      <c r="B1402" s="540"/>
      <c r="C1402" s="541"/>
      <c r="D1402" s="1474" t="s">
        <v>585</v>
      </c>
      <c r="E1402" s="1475"/>
      <c r="F1402" s="539">
        <f>SUM(F1403:F1406)</f>
        <v>1508997</v>
      </c>
      <c r="G1402" s="564"/>
    </row>
    <row r="1403" spans="1:7">
      <c r="A1403" s="530"/>
      <c r="B1403" s="1268"/>
      <c r="C1403" s="1269"/>
      <c r="D1403" s="537" t="s">
        <v>527</v>
      </c>
      <c r="E1403" s="538" t="s">
        <v>586</v>
      </c>
      <c r="F1403" s="539">
        <v>1148941</v>
      </c>
      <c r="G1403" s="564"/>
    </row>
    <row r="1404" spans="1:7">
      <c r="A1404" s="530"/>
      <c r="B1404" s="1268"/>
      <c r="C1404" s="1269"/>
      <c r="D1404" s="537" t="s">
        <v>587</v>
      </c>
      <c r="E1404" s="538" t="s">
        <v>588</v>
      </c>
      <c r="F1404" s="539">
        <v>115087</v>
      </c>
      <c r="G1404" s="564"/>
    </row>
    <row r="1405" spans="1:7">
      <c r="A1405" s="530"/>
      <c r="B1405" s="1268"/>
      <c r="C1405" s="1269"/>
      <c r="D1405" s="537" t="s">
        <v>589</v>
      </c>
      <c r="E1405" s="538" t="s">
        <v>590</v>
      </c>
      <c r="F1405" s="539">
        <v>214000</v>
      </c>
      <c r="G1405" s="564"/>
    </row>
    <row r="1406" spans="1:7">
      <c r="A1406" s="530"/>
      <c r="B1406" s="1268"/>
      <c r="C1406" s="1269"/>
      <c r="D1406" s="537" t="s">
        <v>591</v>
      </c>
      <c r="E1406" s="538" t="s">
        <v>592</v>
      </c>
      <c r="F1406" s="539">
        <v>30969</v>
      </c>
      <c r="G1406" s="564"/>
    </row>
    <row r="1407" spans="1:7">
      <c r="A1407" s="530"/>
      <c r="B1407" s="540"/>
      <c r="C1407" s="541"/>
      <c r="D1407" s="1268"/>
      <c r="E1407" s="1270"/>
      <c r="F1407" s="1271"/>
      <c r="G1407" s="564"/>
    </row>
    <row r="1408" spans="1:7" ht="12.75" customHeight="1">
      <c r="A1408" s="530"/>
      <c r="B1408" s="540"/>
      <c r="C1408" s="541"/>
      <c r="D1408" s="1266" t="s">
        <v>595</v>
      </c>
      <c r="E1408" s="1267"/>
      <c r="F1408" s="539">
        <f>SUM(F1409:F1423)</f>
        <v>368103</v>
      </c>
      <c r="G1408" s="564"/>
    </row>
    <row r="1409" spans="1:7">
      <c r="A1409" s="530"/>
      <c r="B1409" s="540"/>
      <c r="C1409" s="541"/>
      <c r="D1409" s="537" t="s">
        <v>596</v>
      </c>
      <c r="E1409" s="538" t="s">
        <v>597</v>
      </c>
      <c r="F1409" s="539">
        <v>1000</v>
      </c>
      <c r="G1409" s="564"/>
    </row>
    <row r="1410" spans="1:7">
      <c r="A1410" s="530"/>
      <c r="B1410" s="1268"/>
      <c r="C1410" s="1269"/>
      <c r="D1410" s="537" t="s">
        <v>598</v>
      </c>
      <c r="E1410" s="538" t="s">
        <v>599</v>
      </c>
      <c r="F1410" s="539">
        <v>26998</v>
      </c>
      <c r="G1410" s="564"/>
    </row>
    <row r="1411" spans="1:7">
      <c r="A1411" s="530"/>
      <c r="B1411" s="1268"/>
      <c r="C1411" s="1269"/>
      <c r="D1411" s="537" t="s">
        <v>602</v>
      </c>
      <c r="E1411" s="538" t="s">
        <v>603</v>
      </c>
      <c r="F1411" s="539">
        <v>12530</v>
      </c>
      <c r="G1411" s="564"/>
    </row>
    <row r="1412" spans="1:7">
      <c r="A1412" s="530"/>
      <c r="B1412" s="540"/>
      <c r="C1412" s="541"/>
      <c r="D1412" s="537" t="s">
        <v>604</v>
      </c>
      <c r="E1412" s="538" t="s">
        <v>605</v>
      </c>
      <c r="F1412" s="539">
        <v>1144</v>
      </c>
      <c r="G1412" s="564"/>
    </row>
    <row r="1413" spans="1:7">
      <c r="A1413" s="530"/>
      <c r="B1413" s="1268"/>
      <c r="C1413" s="1269"/>
      <c r="D1413" s="537" t="s">
        <v>606</v>
      </c>
      <c r="E1413" s="538" t="s">
        <v>607</v>
      </c>
      <c r="F1413" s="539">
        <v>1500</v>
      </c>
      <c r="G1413" s="564"/>
    </row>
    <row r="1414" spans="1:7">
      <c r="A1414" s="530"/>
      <c r="B1414" s="1268"/>
      <c r="C1414" s="1269"/>
      <c r="D1414" s="537" t="s">
        <v>406</v>
      </c>
      <c r="E1414" s="538" t="s">
        <v>608</v>
      </c>
      <c r="F1414" s="539">
        <v>251198</v>
      </c>
      <c r="G1414" s="564"/>
    </row>
    <row r="1415" spans="1:7">
      <c r="A1415" s="530"/>
      <c r="B1415" s="1268"/>
      <c r="C1415" s="1269"/>
      <c r="D1415" s="537" t="s">
        <v>609</v>
      </c>
      <c r="E1415" s="538" t="s">
        <v>722</v>
      </c>
      <c r="F1415" s="539">
        <v>6626</v>
      </c>
      <c r="G1415" s="564"/>
    </row>
    <row r="1416" spans="1:7">
      <c r="A1416" s="530"/>
      <c r="B1416" s="1268"/>
      <c r="C1416" s="1269"/>
      <c r="D1416" s="551" t="s">
        <v>685</v>
      </c>
      <c r="E1416" s="552" t="s">
        <v>897</v>
      </c>
      <c r="F1416" s="553">
        <v>10000</v>
      </c>
      <c r="G1416" s="564"/>
    </row>
    <row r="1417" spans="1:7">
      <c r="A1417" s="530"/>
      <c r="B1417" s="1268"/>
      <c r="C1417" s="1269"/>
      <c r="D1417" s="537" t="s">
        <v>611</v>
      </c>
      <c r="E1417" s="538" t="s">
        <v>612</v>
      </c>
      <c r="F1417" s="606">
        <v>9840</v>
      </c>
      <c r="G1417" s="564"/>
    </row>
    <row r="1418" spans="1:7">
      <c r="A1418" s="530"/>
      <c r="B1418" s="1268"/>
      <c r="C1418" s="1269"/>
      <c r="D1418" s="628" t="s">
        <v>613</v>
      </c>
      <c r="E1418" s="602" t="s">
        <v>614</v>
      </c>
      <c r="F1418" s="648">
        <v>200</v>
      </c>
      <c r="G1418" s="564"/>
    </row>
    <row r="1419" spans="1:7">
      <c r="A1419" s="530"/>
      <c r="B1419" s="1268"/>
      <c r="C1419" s="1269"/>
      <c r="D1419" s="551" t="s">
        <v>617</v>
      </c>
      <c r="E1419" s="552" t="s">
        <v>618</v>
      </c>
      <c r="F1419" s="553">
        <v>40746</v>
      </c>
      <c r="G1419" s="564"/>
    </row>
    <row r="1420" spans="1:7">
      <c r="A1420" s="530"/>
      <c r="B1420" s="1268"/>
      <c r="C1420" s="1270"/>
      <c r="D1420" s="682" t="s">
        <v>619</v>
      </c>
      <c r="E1420" s="599" t="s">
        <v>620</v>
      </c>
      <c r="F1420" s="539">
        <v>2091</v>
      </c>
      <c r="G1420" s="564"/>
    </row>
    <row r="1421" spans="1:7">
      <c r="A1421" s="530"/>
      <c r="B1421" s="1268"/>
      <c r="C1421" s="1270"/>
      <c r="D1421" s="548" t="s">
        <v>623</v>
      </c>
      <c r="E1421" s="599" t="s">
        <v>894</v>
      </c>
      <c r="F1421" s="539">
        <v>1230</v>
      </c>
      <c r="G1421" s="564"/>
    </row>
    <row r="1422" spans="1:7">
      <c r="A1422" s="530"/>
      <c r="B1422" s="1268"/>
      <c r="C1422" s="1270"/>
      <c r="D1422" s="548" t="s">
        <v>634</v>
      </c>
      <c r="E1422" s="599" t="s">
        <v>635</v>
      </c>
      <c r="F1422" s="539">
        <v>1000</v>
      </c>
      <c r="G1422" s="564"/>
    </row>
    <row r="1423" spans="1:7">
      <c r="A1423" s="530"/>
      <c r="B1423" s="1268"/>
      <c r="C1423" s="1270"/>
      <c r="D1423" s="548" t="s">
        <v>627</v>
      </c>
      <c r="E1423" s="599" t="s">
        <v>775</v>
      </c>
      <c r="F1423" s="539">
        <v>2000</v>
      </c>
      <c r="G1423" s="564"/>
    </row>
    <row r="1424" spans="1:7">
      <c r="A1424" s="530"/>
      <c r="B1424" s="1268"/>
      <c r="C1424" s="1269"/>
      <c r="D1424" s="1268"/>
      <c r="E1424" s="1270"/>
      <c r="F1424" s="1271"/>
      <c r="G1424" s="564"/>
    </row>
    <row r="1425" spans="1:7" ht="14.25" customHeight="1">
      <c r="A1425" s="530"/>
      <c r="B1425" s="1268"/>
      <c r="C1425" s="1269"/>
      <c r="D1425" s="1476" t="s">
        <v>899</v>
      </c>
      <c r="E1425" s="1476"/>
      <c r="F1425" s="636">
        <f>F1426</f>
        <v>308</v>
      </c>
      <c r="G1425" s="564"/>
    </row>
    <row r="1426" spans="1:7" ht="42" customHeight="1">
      <c r="A1426" s="530"/>
      <c r="B1426" s="1268"/>
      <c r="C1426" s="1269"/>
      <c r="D1426" s="537" t="s">
        <v>900</v>
      </c>
      <c r="E1426" s="538" t="s">
        <v>901</v>
      </c>
      <c r="F1426" s="636">
        <v>308</v>
      </c>
      <c r="G1426" s="564"/>
    </row>
    <row r="1427" spans="1:7">
      <c r="A1427" s="530"/>
      <c r="B1427" s="1268"/>
      <c r="C1427" s="1269"/>
      <c r="D1427" s="540"/>
      <c r="E1427" s="581"/>
      <c r="F1427" s="683"/>
      <c r="G1427" s="564"/>
    </row>
    <row r="1428" spans="1:7" ht="12.75" customHeight="1">
      <c r="A1428" s="530"/>
      <c r="B1428" s="1268"/>
      <c r="C1428" s="1269"/>
      <c r="D1428" s="1293" t="s">
        <v>629</v>
      </c>
      <c r="E1428" s="1294"/>
      <c r="F1428" s="539">
        <f>F1429</f>
        <v>1900</v>
      </c>
      <c r="G1428" s="564"/>
    </row>
    <row r="1429" spans="1:7">
      <c r="A1429" s="530"/>
      <c r="B1429" s="1303"/>
      <c r="C1429" s="1334"/>
      <c r="D1429" s="537" t="s">
        <v>630</v>
      </c>
      <c r="E1429" s="538" t="s">
        <v>631</v>
      </c>
      <c r="F1429" s="539">
        <v>1900</v>
      </c>
      <c r="G1429" s="564"/>
    </row>
    <row r="1430" spans="1:7">
      <c r="A1430" s="530"/>
      <c r="B1430" s="1295" t="s">
        <v>902</v>
      </c>
      <c r="C1430" s="1296"/>
      <c r="D1430" s="542"/>
      <c r="E1430" s="532" t="s">
        <v>903</v>
      </c>
      <c r="F1430" s="544">
        <f>F1431</f>
        <v>9192</v>
      </c>
      <c r="G1430" s="564"/>
    </row>
    <row r="1431" spans="1:7">
      <c r="A1431" s="530"/>
      <c r="B1431" s="540"/>
      <c r="C1431" s="541"/>
      <c r="D1431" s="1285" t="s">
        <v>583</v>
      </c>
      <c r="E1431" s="1286"/>
      <c r="F1431" s="534">
        <f>SUM(F1432)</f>
        <v>9192</v>
      </c>
      <c r="G1431" s="564"/>
    </row>
    <row r="1432" spans="1:7">
      <c r="A1432" s="530"/>
      <c r="B1432" s="540"/>
      <c r="C1432" s="541"/>
      <c r="D1432" s="1459" t="s">
        <v>584</v>
      </c>
      <c r="E1432" s="1460"/>
      <c r="F1432" s="539">
        <f>SUM(F1433)</f>
        <v>9192</v>
      </c>
      <c r="G1432" s="564"/>
    </row>
    <row r="1433" spans="1:7">
      <c r="A1433" s="530"/>
      <c r="B1433" s="540"/>
      <c r="C1433" s="541"/>
      <c r="D1433" s="1266" t="s">
        <v>595</v>
      </c>
      <c r="E1433" s="1267"/>
      <c r="F1433" s="539">
        <f>SUM(F1434:F1435)</f>
        <v>9192</v>
      </c>
      <c r="G1433" s="564"/>
    </row>
    <row r="1434" spans="1:7">
      <c r="A1434" s="530"/>
      <c r="B1434" s="1268"/>
      <c r="C1434" s="1269"/>
      <c r="D1434" s="537" t="s">
        <v>598</v>
      </c>
      <c r="E1434" s="538" t="s">
        <v>599</v>
      </c>
      <c r="F1434" s="539">
        <v>6692</v>
      </c>
      <c r="G1434" s="564"/>
    </row>
    <row r="1435" spans="1:7">
      <c r="A1435" s="530"/>
      <c r="B1435" s="1268"/>
      <c r="C1435" s="1269"/>
      <c r="D1435" s="537" t="s">
        <v>406</v>
      </c>
      <c r="E1435" s="538" t="s">
        <v>608</v>
      </c>
      <c r="F1435" s="539">
        <v>2500</v>
      </c>
      <c r="G1435" s="564"/>
    </row>
    <row r="1436" spans="1:7" ht="12.75" customHeight="1">
      <c r="A1436" s="530"/>
      <c r="B1436" s="1477" t="s">
        <v>216</v>
      </c>
      <c r="C1436" s="1478"/>
      <c r="D1436" s="684"/>
      <c r="E1436" s="685" t="s">
        <v>904</v>
      </c>
      <c r="F1436" s="586">
        <f>F1437</f>
        <v>90000</v>
      </c>
      <c r="G1436" s="564"/>
    </row>
    <row r="1437" spans="1:7" ht="12.75" customHeight="1">
      <c r="A1437" s="530"/>
      <c r="B1437" s="649"/>
      <c r="C1437" s="669"/>
      <c r="D1437" s="1285" t="s">
        <v>583</v>
      </c>
      <c r="E1437" s="1286"/>
      <c r="F1437" s="686">
        <f>SUM(F1438)</f>
        <v>90000</v>
      </c>
      <c r="G1437" s="564"/>
    </row>
    <row r="1438" spans="1:7" ht="12.75" customHeight="1">
      <c r="A1438" s="530"/>
      <c r="B1438" s="540"/>
      <c r="C1438" s="541"/>
      <c r="D1438" s="1476" t="s">
        <v>899</v>
      </c>
      <c r="E1438" s="1476"/>
      <c r="F1438" s="539">
        <f>SUM(F1439)</f>
        <v>90000</v>
      </c>
      <c r="G1438" s="564"/>
    </row>
    <row r="1439" spans="1:7" ht="42" customHeight="1">
      <c r="A1439" s="530"/>
      <c r="B1439" s="1303"/>
      <c r="C1439" s="1334"/>
      <c r="D1439" s="537" t="s">
        <v>665</v>
      </c>
      <c r="E1439" s="538" t="s">
        <v>666</v>
      </c>
      <c r="F1439" s="565">
        <v>90000</v>
      </c>
      <c r="G1439" s="564"/>
    </row>
    <row r="1440" spans="1:7">
      <c r="A1440" s="530"/>
      <c r="B1440" s="1295" t="s">
        <v>268</v>
      </c>
      <c r="C1440" s="1296"/>
      <c r="D1440" s="542"/>
      <c r="E1440" s="543" t="s">
        <v>905</v>
      </c>
      <c r="F1440" s="544">
        <f>F1441</f>
        <v>750000</v>
      </c>
      <c r="G1440" s="564"/>
    </row>
    <row r="1441" spans="1:7">
      <c r="A1441" s="530"/>
      <c r="B1441" s="540"/>
      <c r="C1441" s="541"/>
      <c r="D1441" s="1285" t="s">
        <v>583</v>
      </c>
      <c r="E1441" s="1286"/>
      <c r="F1441" s="534">
        <f>F1442+F1465</f>
        <v>750000</v>
      </c>
      <c r="G1441" s="564"/>
    </row>
    <row r="1442" spans="1:7">
      <c r="A1442" s="530"/>
      <c r="B1442" s="540"/>
      <c r="C1442" s="541"/>
      <c r="D1442" s="1459" t="s">
        <v>584</v>
      </c>
      <c r="E1442" s="1460"/>
      <c r="F1442" s="539">
        <f>F1443+F1449</f>
        <v>748780</v>
      </c>
      <c r="G1442" s="564"/>
    </row>
    <row r="1443" spans="1:7">
      <c r="A1443" s="530"/>
      <c r="B1443" s="540"/>
      <c r="C1443" s="541"/>
      <c r="D1443" s="1474" t="s">
        <v>585</v>
      </c>
      <c r="E1443" s="1475"/>
      <c r="F1443" s="539">
        <f>SUM(F1444:F1447)</f>
        <v>616110</v>
      </c>
      <c r="G1443" s="564"/>
    </row>
    <row r="1444" spans="1:7">
      <c r="A1444" s="530"/>
      <c r="B1444" s="1268"/>
      <c r="C1444" s="1269"/>
      <c r="D1444" s="537" t="s">
        <v>527</v>
      </c>
      <c r="E1444" s="538" t="s">
        <v>586</v>
      </c>
      <c r="F1444" s="539">
        <v>458726</v>
      </c>
      <c r="G1444" s="564"/>
    </row>
    <row r="1445" spans="1:7">
      <c r="A1445" s="530"/>
      <c r="B1445" s="1268"/>
      <c r="C1445" s="1269"/>
      <c r="D1445" s="537" t="s">
        <v>587</v>
      </c>
      <c r="E1445" s="538" t="s">
        <v>588</v>
      </c>
      <c r="F1445" s="539">
        <v>58322</v>
      </c>
      <c r="G1445" s="564"/>
    </row>
    <row r="1446" spans="1:7">
      <c r="A1446" s="530"/>
      <c r="B1446" s="1268"/>
      <c r="C1446" s="1269"/>
      <c r="D1446" s="537" t="s">
        <v>589</v>
      </c>
      <c r="E1446" s="538" t="s">
        <v>590</v>
      </c>
      <c r="F1446" s="539">
        <v>86539</v>
      </c>
      <c r="G1446" s="564"/>
    </row>
    <row r="1447" spans="1:7">
      <c r="A1447" s="530"/>
      <c r="B1447" s="1268"/>
      <c r="C1447" s="1269"/>
      <c r="D1447" s="537" t="s">
        <v>591</v>
      </c>
      <c r="E1447" s="538" t="s">
        <v>592</v>
      </c>
      <c r="F1447" s="539">
        <v>12523</v>
      </c>
      <c r="G1447" s="564"/>
    </row>
    <row r="1448" spans="1:7">
      <c r="A1448" s="530"/>
      <c r="B1448" s="540"/>
      <c r="C1448" s="541"/>
      <c r="D1448" s="1268"/>
      <c r="E1448" s="1270"/>
      <c r="F1448" s="1271"/>
      <c r="G1448" s="564"/>
    </row>
    <row r="1449" spans="1:7">
      <c r="A1449" s="530"/>
      <c r="B1449" s="540"/>
      <c r="C1449" s="541"/>
      <c r="D1449" s="1266" t="s">
        <v>595</v>
      </c>
      <c r="E1449" s="1267"/>
      <c r="F1449" s="539">
        <f>SUM(F1450:F1463)</f>
        <v>132670</v>
      </c>
      <c r="G1449" s="564"/>
    </row>
    <row r="1450" spans="1:7">
      <c r="A1450" s="530"/>
      <c r="B1450" s="540"/>
      <c r="C1450" s="541"/>
      <c r="D1450" s="537" t="s">
        <v>596</v>
      </c>
      <c r="E1450" s="538" t="s">
        <v>597</v>
      </c>
      <c r="F1450" s="539">
        <v>500</v>
      </c>
      <c r="G1450" s="564"/>
    </row>
    <row r="1451" spans="1:7">
      <c r="A1451" s="530"/>
      <c r="B1451" s="1268"/>
      <c r="C1451" s="1269"/>
      <c r="D1451" s="537" t="s">
        <v>598</v>
      </c>
      <c r="E1451" s="538" t="s">
        <v>599</v>
      </c>
      <c r="F1451" s="539">
        <v>22755</v>
      </c>
      <c r="G1451" s="564"/>
    </row>
    <row r="1452" spans="1:7">
      <c r="A1452" s="530"/>
      <c r="B1452" s="540"/>
      <c r="C1452" s="541"/>
      <c r="D1452" s="537" t="s">
        <v>720</v>
      </c>
      <c r="E1452" s="538" t="s">
        <v>721</v>
      </c>
      <c r="F1452" s="539">
        <v>5000</v>
      </c>
      <c r="G1452" s="564"/>
    </row>
    <row r="1453" spans="1:7">
      <c r="A1453" s="530"/>
      <c r="B1453" s="1268"/>
      <c r="C1453" s="1269"/>
      <c r="D1453" s="537" t="s">
        <v>602</v>
      </c>
      <c r="E1453" s="538" t="s">
        <v>603</v>
      </c>
      <c r="F1453" s="539">
        <v>14000</v>
      </c>
      <c r="G1453" s="564"/>
    </row>
    <row r="1454" spans="1:7">
      <c r="A1454" s="530"/>
      <c r="B1454" s="540"/>
      <c r="C1454" s="541"/>
      <c r="D1454" s="537" t="s">
        <v>604</v>
      </c>
      <c r="E1454" s="538" t="s">
        <v>605</v>
      </c>
      <c r="F1454" s="539">
        <v>1744</v>
      </c>
      <c r="G1454" s="564"/>
    </row>
    <row r="1455" spans="1:7">
      <c r="A1455" s="530"/>
      <c r="B1455" s="1268"/>
      <c r="C1455" s="1269"/>
      <c r="D1455" s="537" t="s">
        <v>606</v>
      </c>
      <c r="E1455" s="538" t="s">
        <v>607</v>
      </c>
      <c r="F1455" s="539">
        <v>1200</v>
      </c>
      <c r="G1455" s="564"/>
    </row>
    <row r="1456" spans="1:7">
      <c r="A1456" s="530"/>
      <c r="B1456" s="1268"/>
      <c r="C1456" s="1269"/>
      <c r="D1456" s="537" t="s">
        <v>406</v>
      </c>
      <c r="E1456" s="538" t="s">
        <v>608</v>
      </c>
      <c r="F1456" s="539">
        <v>44562</v>
      </c>
      <c r="G1456" s="564"/>
    </row>
    <row r="1457" spans="1:7">
      <c r="A1457" s="530"/>
      <c r="B1457" s="1268"/>
      <c r="C1457" s="1269"/>
      <c r="D1457" s="537" t="s">
        <v>609</v>
      </c>
      <c r="E1457" s="538" t="s">
        <v>722</v>
      </c>
      <c r="F1457" s="539">
        <v>8860</v>
      </c>
      <c r="G1457" s="564"/>
    </row>
    <row r="1458" spans="1:7">
      <c r="A1458" s="530"/>
      <c r="B1458" s="1268"/>
      <c r="C1458" s="1269"/>
      <c r="D1458" s="551" t="s">
        <v>613</v>
      </c>
      <c r="E1458" s="552" t="s">
        <v>614</v>
      </c>
      <c r="F1458" s="539">
        <v>5500</v>
      </c>
      <c r="G1458" s="564"/>
    </row>
    <row r="1459" spans="1:7">
      <c r="A1459" s="530"/>
      <c r="B1459" s="1268"/>
      <c r="C1459" s="1269"/>
      <c r="D1459" s="551" t="s">
        <v>615</v>
      </c>
      <c r="E1459" s="552" t="s">
        <v>616</v>
      </c>
      <c r="F1459" s="553">
        <v>2500</v>
      </c>
      <c r="G1459" s="564"/>
    </row>
    <row r="1460" spans="1:7">
      <c r="A1460" s="530"/>
      <c r="B1460" s="1268"/>
      <c r="C1460" s="1270"/>
      <c r="D1460" s="682" t="s">
        <v>617</v>
      </c>
      <c r="E1460" s="599" t="s">
        <v>618</v>
      </c>
      <c r="F1460" s="539">
        <v>19049</v>
      </c>
      <c r="G1460" s="564"/>
    </row>
    <row r="1461" spans="1:7">
      <c r="A1461" s="530"/>
      <c r="B1461" s="1268"/>
      <c r="C1461" s="1270"/>
      <c r="D1461" s="682" t="s">
        <v>619</v>
      </c>
      <c r="E1461" s="599" t="s">
        <v>620</v>
      </c>
      <c r="F1461" s="539">
        <v>2000</v>
      </c>
      <c r="G1461" s="564"/>
    </row>
    <row r="1462" spans="1:7">
      <c r="A1462" s="530"/>
      <c r="B1462" s="1268"/>
      <c r="C1462" s="1270"/>
      <c r="D1462" s="548" t="s">
        <v>623</v>
      </c>
      <c r="E1462" s="599" t="s">
        <v>894</v>
      </c>
      <c r="F1462" s="539">
        <v>3000</v>
      </c>
      <c r="G1462" s="564"/>
    </row>
    <row r="1463" spans="1:7">
      <c r="A1463" s="530"/>
      <c r="B1463" s="1268"/>
      <c r="C1463" s="1270"/>
      <c r="D1463" s="548" t="s">
        <v>627</v>
      </c>
      <c r="E1463" s="599" t="s">
        <v>775</v>
      </c>
      <c r="F1463" s="539">
        <v>2000</v>
      </c>
      <c r="G1463" s="564"/>
    </row>
    <row r="1464" spans="1:7">
      <c r="A1464" s="530"/>
      <c r="B1464" s="1268"/>
      <c r="C1464" s="1269"/>
      <c r="D1464" s="1268"/>
      <c r="E1464" s="1270"/>
      <c r="F1464" s="1271"/>
      <c r="G1464" s="564"/>
    </row>
    <row r="1465" spans="1:7">
      <c r="A1465" s="530"/>
      <c r="B1465" s="1268"/>
      <c r="C1465" s="1269"/>
      <c r="D1465" s="1293" t="s">
        <v>629</v>
      </c>
      <c r="E1465" s="1294"/>
      <c r="F1465" s="539">
        <f>F1466</f>
        <v>1220</v>
      </c>
      <c r="G1465" s="564"/>
    </row>
    <row r="1466" spans="1:7">
      <c r="A1466" s="530"/>
      <c r="B1466" s="1303"/>
      <c r="C1466" s="1334"/>
      <c r="D1466" s="537" t="s">
        <v>630</v>
      </c>
      <c r="E1466" s="538" t="s">
        <v>631</v>
      </c>
      <c r="F1466" s="539">
        <v>1220</v>
      </c>
      <c r="G1466" s="564"/>
    </row>
    <row r="1467" spans="1:7">
      <c r="A1467" s="530"/>
      <c r="B1467" s="1295" t="s">
        <v>217</v>
      </c>
      <c r="C1467" s="1296"/>
      <c r="D1467" s="542"/>
      <c r="E1467" s="543" t="s">
        <v>906</v>
      </c>
      <c r="F1467" s="544">
        <f>F1468</f>
        <v>3624649</v>
      </c>
      <c r="G1467" s="564"/>
    </row>
    <row r="1468" spans="1:7">
      <c r="A1468" s="530"/>
      <c r="B1468" s="1350"/>
      <c r="C1468" s="1359"/>
      <c r="D1468" s="1285" t="s">
        <v>583</v>
      </c>
      <c r="E1468" s="1286"/>
      <c r="F1468" s="534">
        <f>SUM(F1474,F1469)</f>
        <v>3624649</v>
      </c>
      <c r="G1468" s="564"/>
    </row>
    <row r="1469" spans="1:7">
      <c r="A1469" s="530"/>
      <c r="B1469" s="1268"/>
      <c r="C1469" s="1269"/>
      <c r="D1469" s="1459" t="s">
        <v>584</v>
      </c>
      <c r="E1469" s="1460"/>
      <c r="F1469" s="539">
        <f>F1470</f>
        <v>5000</v>
      </c>
      <c r="G1469" s="564"/>
    </row>
    <row r="1470" spans="1:7">
      <c r="A1470" s="530"/>
      <c r="B1470" s="1268"/>
      <c r="C1470" s="1269"/>
      <c r="D1470" s="1266" t="s">
        <v>595</v>
      </c>
      <c r="E1470" s="1267"/>
      <c r="F1470" s="539">
        <f>SUM(F1471:F1472)</f>
        <v>5000</v>
      </c>
      <c r="G1470" s="564"/>
    </row>
    <row r="1471" spans="1:7">
      <c r="A1471" s="530"/>
      <c r="B1471" s="1268"/>
      <c r="C1471" s="1269"/>
      <c r="D1471" s="537" t="s">
        <v>598</v>
      </c>
      <c r="E1471" s="538" t="s">
        <v>599</v>
      </c>
      <c r="F1471" s="539">
        <v>2500</v>
      </c>
      <c r="G1471" s="564"/>
    </row>
    <row r="1472" spans="1:7">
      <c r="A1472" s="530"/>
      <c r="B1472" s="1268"/>
      <c r="C1472" s="1269"/>
      <c r="D1472" s="537" t="s">
        <v>406</v>
      </c>
      <c r="E1472" s="538" t="s">
        <v>608</v>
      </c>
      <c r="F1472" s="539">
        <v>2500</v>
      </c>
      <c r="G1472" s="564"/>
    </row>
    <row r="1473" spans="1:9">
      <c r="A1473" s="530"/>
      <c r="B1473" s="1268"/>
      <c r="C1473" s="1269"/>
      <c r="D1473" s="537"/>
      <c r="E1473" s="538"/>
      <c r="F1473" s="539"/>
      <c r="G1473" s="564"/>
    </row>
    <row r="1474" spans="1:9">
      <c r="A1474" s="530"/>
      <c r="B1474" s="1268"/>
      <c r="C1474" s="1269"/>
      <c r="D1474" s="1476" t="s">
        <v>899</v>
      </c>
      <c r="E1474" s="1476"/>
      <c r="F1474" s="539">
        <f>SUM(F1475:F1475)</f>
        <v>3619649</v>
      </c>
      <c r="G1474" s="564"/>
    </row>
    <row r="1475" spans="1:9" ht="39" thickBot="1">
      <c r="A1475" s="530"/>
      <c r="B1475" s="1268"/>
      <c r="C1475" s="1269"/>
      <c r="D1475" s="551" t="s">
        <v>665</v>
      </c>
      <c r="E1475" s="552" t="s">
        <v>666</v>
      </c>
      <c r="F1475" s="553">
        <v>3619649</v>
      </c>
      <c r="G1475" s="564"/>
    </row>
    <row r="1476" spans="1:9" ht="17.100000000000001" customHeight="1" thickBot="1">
      <c r="A1476" s="687" t="s">
        <v>144</v>
      </c>
      <c r="B1476" s="1479"/>
      <c r="C1476" s="1480"/>
      <c r="D1476" s="688"/>
      <c r="E1476" s="689" t="s">
        <v>907</v>
      </c>
      <c r="F1476" s="690">
        <f>F1477+F1485+F1496+F1501+F1507</f>
        <v>914700</v>
      </c>
    </row>
    <row r="1477" spans="1:9" ht="17.100000000000001" customHeight="1">
      <c r="A1477" s="530"/>
      <c r="B1477" s="1279" t="s">
        <v>145</v>
      </c>
      <c r="C1477" s="1280"/>
      <c r="D1477" s="531"/>
      <c r="E1477" s="532" t="s">
        <v>146</v>
      </c>
      <c r="F1477" s="533">
        <f>SUM(F1478)</f>
        <v>138700</v>
      </c>
    </row>
    <row r="1478" spans="1:9" ht="17.100000000000001" customHeight="1">
      <c r="A1478" s="530"/>
      <c r="B1478" s="1281"/>
      <c r="C1478" s="1282"/>
      <c r="D1478" s="1285" t="s">
        <v>583</v>
      </c>
      <c r="E1478" s="1286"/>
      <c r="F1478" s="534">
        <f>F1479+F1483</f>
        <v>138700</v>
      </c>
    </row>
    <row r="1479" spans="1:9" ht="17.100000000000001" customHeight="1">
      <c r="A1479" s="530"/>
      <c r="B1479" s="1283"/>
      <c r="C1479" s="1284"/>
      <c r="D1479" s="1459" t="s">
        <v>584</v>
      </c>
      <c r="E1479" s="1460"/>
      <c r="F1479" s="534">
        <f>F1480</f>
        <v>98700</v>
      </c>
    </row>
    <row r="1480" spans="1:9" ht="17.100000000000001" customHeight="1">
      <c r="A1480" s="530"/>
      <c r="B1480" s="1283"/>
      <c r="C1480" s="1284"/>
      <c r="D1480" s="1266" t="s">
        <v>595</v>
      </c>
      <c r="E1480" s="1267"/>
      <c r="F1480" s="539">
        <f>SUM(F1481:F1481)</f>
        <v>98700</v>
      </c>
    </row>
    <row r="1481" spans="1:9" ht="17.100000000000001" customHeight="1">
      <c r="A1481" s="530"/>
      <c r="B1481" s="1283"/>
      <c r="C1481" s="1284"/>
      <c r="D1481" s="537" t="s">
        <v>406</v>
      </c>
      <c r="E1481" s="538" t="s">
        <v>608</v>
      </c>
      <c r="F1481" s="539">
        <f>73700+25000</f>
        <v>98700</v>
      </c>
      <c r="H1481" s="514" t="s">
        <v>908</v>
      </c>
      <c r="I1481" s="514" t="s">
        <v>909</v>
      </c>
    </row>
    <row r="1482" spans="1:9" ht="17.100000000000001" customHeight="1">
      <c r="A1482" s="530"/>
      <c r="B1482" s="545"/>
      <c r="C1482" s="546"/>
      <c r="D1482" s="557"/>
      <c r="E1482" s="549"/>
      <c r="F1482" s="539"/>
    </row>
    <row r="1483" spans="1:9" ht="17.100000000000001" customHeight="1">
      <c r="A1483" s="530"/>
      <c r="B1483" s="545"/>
      <c r="C1483" s="546"/>
      <c r="D1483" s="1287" t="s">
        <v>643</v>
      </c>
      <c r="E1483" s="1291"/>
      <c r="F1483" s="539">
        <f>F1484</f>
        <v>40000</v>
      </c>
    </row>
    <row r="1484" spans="1:9" ht="28.5" customHeight="1">
      <c r="A1484" s="530"/>
      <c r="B1484" s="545"/>
      <c r="C1484" s="546"/>
      <c r="D1484" s="537" t="s">
        <v>910</v>
      </c>
      <c r="E1484" s="538" t="s">
        <v>911</v>
      </c>
      <c r="F1484" s="539">
        <v>40000</v>
      </c>
    </row>
    <row r="1485" spans="1:9" ht="24.75" customHeight="1">
      <c r="A1485" s="530"/>
      <c r="B1485" s="1295" t="s">
        <v>912</v>
      </c>
      <c r="C1485" s="1296"/>
      <c r="D1485" s="542"/>
      <c r="E1485" s="543" t="s">
        <v>913</v>
      </c>
      <c r="F1485" s="544">
        <f>SUM(F1486)</f>
        <v>650000</v>
      </c>
    </row>
    <row r="1486" spans="1:9" ht="17.100000000000001" customHeight="1">
      <c r="A1486" s="530"/>
      <c r="B1486" s="1281"/>
      <c r="C1486" s="1282"/>
      <c r="D1486" s="1285" t="s">
        <v>583</v>
      </c>
      <c r="E1486" s="1286"/>
      <c r="F1486" s="534">
        <f>SUM(F1487)</f>
        <v>650000</v>
      </c>
    </row>
    <row r="1487" spans="1:9" ht="17.100000000000001" customHeight="1">
      <c r="A1487" s="530"/>
      <c r="B1487" s="1283"/>
      <c r="C1487" s="1284"/>
      <c r="D1487" s="1459" t="s">
        <v>584</v>
      </c>
      <c r="E1487" s="1460"/>
      <c r="F1487" s="539">
        <f>SUM(F1488,F1493)</f>
        <v>650000</v>
      </c>
    </row>
    <row r="1488" spans="1:9" ht="17.100000000000001" customHeight="1">
      <c r="A1488" s="530"/>
      <c r="B1488" s="1283"/>
      <c r="C1488" s="1284"/>
      <c r="D1488" s="1474" t="s">
        <v>585</v>
      </c>
      <c r="E1488" s="1475"/>
      <c r="F1488" s="539">
        <f>SUM(F1489:F1491)</f>
        <v>545000</v>
      </c>
    </row>
    <row r="1489" spans="1:6" ht="17.100000000000001" customHeight="1">
      <c r="A1489" s="530"/>
      <c r="B1489" s="1283"/>
      <c r="C1489" s="1284"/>
      <c r="D1489" s="570" t="s">
        <v>527</v>
      </c>
      <c r="E1489" s="691" t="s">
        <v>586</v>
      </c>
      <c r="F1489" s="539">
        <v>454811</v>
      </c>
    </row>
    <row r="1490" spans="1:6" ht="17.100000000000001" customHeight="1">
      <c r="A1490" s="530"/>
      <c r="B1490" s="1283"/>
      <c r="C1490" s="1284"/>
      <c r="D1490" s="537" t="s">
        <v>589</v>
      </c>
      <c r="E1490" s="538" t="s">
        <v>590</v>
      </c>
      <c r="F1490" s="539">
        <v>79046</v>
      </c>
    </row>
    <row r="1491" spans="1:6" ht="17.100000000000001" customHeight="1">
      <c r="A1491" s="530"/>
      <c r="B1491" s="1283"/>
      <c r="C1491" s="1284"/>
      <c r="D1491" s="537" t="s">
        <v>591</v>
      </c>
      <c r="E1491" s="538" t="s">
        <v>592</v>
      </c>
      <c r="F1491" s="539">
        <v>11143</v>
      </c>
    </row>
    <row r="1492" spans="1:6" ht="17.100000000000001" customHeight="1">
      <c r="A1492" s="530"/>
      <c r="B1492" s="1283"/>
      <c r="C1492" s="1284"/>
      <c r="D1492" s="540"/>
      <c r="E1492" s="692"/>
      <c r="F1492" s="595"/>
    </row>
    <row r="1493" spans="1:6" ht="17.100000000000001" customHeight="1">
      <c r="A1493" s="530"/>
      <c r="B1493" s="1283"/>
      <c r="C1493" s="1284"/>
      <c r="D1493" s="1266" t="s">
        <v>595</v>
      </c>
      <c r="E1493" s="1267"/>
      <c r="F1493" s="539">
        <f>F1495+F1494</f>
        <v>105000</v>
      </c>
    </row>
    <row r="1494" spans="1:6" ht="17.100000000000001" customHeight="1">
      <c r="A1494" s="530"/>
      <c r="B1494" s="1283"/>
      <c r="C1494" s="1284"/>
      <c r="D1494" s="537" t="s">
        <v>598</v>
      </c>
      <c r="E1494" s="538" t="s">
        <v>599</v>
      </c>
      <c r="F1494" s="539">
        <v>80000</v>
      </c>
    </row>
    <row r="1495" spans="1:6" ht="17.100000000000001" customHeight="1">
      <c r="A1495" s="530"/>
      <c r="B1495" s="1283"/>
      <c r="C1495" s="1284"/>
      <c r="D1495" s="537" t="s">
        <v>627</v>
      </c>
      <c r="E1495" s="538" t="s">
        <v>628</v>
      </c>
      <c r="F1495" s="539">
        <v>25000</v>
      </c>
    </row>
    <row r="1496" spans="1:6" ht="20.100000000000001" customHeight="1">
      <c r="A1496" s="530"/>
      <c r="B1496" s="1295" t="s">
        <v>914</v>
      </c>
      <c r="C1496" s="1296"/>
      <c r="D1496" s="542"/>
      <c r="E1496" s="543" t="s">
        <v>915</v>
      </c>
      <c r="F1496" s="544">
        <f>F1497</f>
        <v>10000</v>
      </c>
    </row>
    <row r="1497" spans="1:6" ht="17.100000000000001" customHeight="1">
      <c r="A1497" s="530"/>
      <c r="B1497" s="1281"/>
      <c r="C1497" s="1282"/>
      <c r="D1497" s="1285" t="s">
        <v>583</v>
      </c>
      <c r="E1497" s="1286"/>
      <c r="F1497" s="534">
        <f>F1498</f>
        <v>10000</v>
      </c>
    </row>
    <row r="1498" spans="1:6">
      <c r="A1498" s="530"/>
      <c r="B1498" s="1283"/>
      <c r="C1498" s="1284"/>
      <c r="D1498" s="1459" t="s">
        <v>584</v>
      </c>
      <c r="E1498" s="1460"/>
      <c r="F1498" s="539">
        <f>SUM(F1499)</f>
        <v>10000</v>
      </c>
    </row>
    <row r="1499" spans="1:6" ht="17.100000000000001" customHeight="1">
      <c r="A1499" s="530"/>
      <c r="B1499" s="1283"/>
      <c r="C1499" s="1284"/>
      <c r="D1499" s="1266" t="s">
        <v>595</v>
      </c>
      <c r="E1499" s="1267"/>
      <c r="F1499" s="539">
        <f>F1500</f>
        <v>10000</v>
      </c>
    </row>
    <row r="1500" spans="1:6" ht="17.100000000000001" customHeight="1">
      <c r="A1500" s="530"/>
      <c r="B1500" s="1283"/>
      <c r="C1500" s="1284"/>
      <c r="D1500" s="551" t="s">
        <v>598</v>
      </c>
      <c r="E1500" s="552" t="s">
        <v>599</v>
      </c>
      <c r="F1500" s="539">
        <v>10000</v>
      </c>
    </row>
    <row r="1501" spans="1:6" ht="24.75" customHeight="1">
      <c r="A1501" s="530"/>
      <c r="B1501" s="1295" t="s">
        <v>916</v>
      </c>
      <c r="C1501" s="1296"/>
      <c r="D1501" s="542"/>
      <c r="E1501" s="693" t="s">
        <v>917</v>
      </c>
      <c r="F1501" s="544">
        <f>F1502</f>
        <v>1000</v>
      </c>
    </row>
    <row r="1502" spans="1:6" ht="17.100000000000001" customHeight="1">
      <c r="A1502" s="530"/>
      <c r="B1502" s="1350"/>
      <c r="C1502" s="1359"/>
      <c r="D1502" s="1285" t="s">
        <v>583</v>
      </c>
      <c r="E1502" s="1286"/>
      <c r="F1502" s="534">
        <f>F1503</f>
        <v>1000</v>
      </c>
    </row>
    <row r="1503" spans="1:6" ht="17.100000000000001" customHeight="1">
      <c r="A1503" s="530"/>
      <c r="B1503" s="1268"/>
      <c r="C1503" s="1269"/>
      <c r="D1503" s="1459" t="s">
        <v>584</v>
      </c>
      <c r="E1503" s="1460"/>
      <c r="F1503" s="539">
        <f>F1504</f>
        <v>1000</v>
      </c>
    </row>
    <row r="1504" spans="1:6" ht="17.100000000000001" customHeight="1">
      <c r="A1504" s="530"/>
      <c r="B1504" s="1268"/>
      <c r="C1504" s="1269"/>
      <c r="D1504" s="1266" t="s">
        <v>595</v>
      </c>
      <c r="E1504" s="1267"/>
      <c r="F1504" s="539">
        <f>F1506+F1505</f>
        <v>1000</v>
      </c>
    </row>
    <row r="1505" spans="1:6" ht="17.100000000000001" hidden="1" customHeight="1">
      <c r="A1505" s="530"/>
      <c r="B1505" s="1268"/>
      <c r="C1505" s="1269"/>
      <c r="D1505" s="537" t="s">
        <v>598</v>
      </c>
      <c r="E1505" s="538" t="s">
        <v>599</v>
      </c>
      <c r="F1505" s="539">
        <v>0</v>
      </c>
    </row>
    <row r="1506" spans="1:6" ht="17.100000000000001" customHeight="1">
      <c r="A1506" s="530"/>
      <c r="B1506" s="1303"/>
      <c r="C1506" s="1334"/>
      <c r="D1506" s="537" t="s">
        <v>627</v>
      </c>
      <c r="E1506" s="538" t="s">
        <v>628</v>
      </c>
      <c r="F1506" s="539">
        <v>1000</v>
      </c>
    </row>
    <row r="1507" spans="1:6" ht="17.100000000000001" customHeight="1">
      <c r="A1507" s="530"/>
      <c r="B1507" s="1295" t="s">
        <v>918</v>
      </c>
      <c r="C1507" s="1296"/>
      <c r="D1507" s="542"/>
      <c r="E1507" s="543" t="s">
        <v>238</v>
      </c>
      <c r="F1507" s="544">
        <f>F1508</f>
        <v>115000</v>
      </c>
    </row>
    <row r="1508" spans="1:6" ht="17.100000000000001" customHeight="1">
      <c r="A1508" s="530"/>
      <c r="B1508" s="1281"/>
      <c r="C1508" s="1282"/>
      <c r="D1508" s="1285" t="s">
        <v>583</v>
      </c>
      <c r="E1508" s="1286"/>
      <c r="F1508" s="534">
        <f>F1509</f>
        <v>115000</v>
      </c>
    </row>
    <row r="1509" spans="1:6" ht="17.100000000000001" customHeight="1">
      <c r="A1509" s="530"/>
      <c r="B1509" s="1283"/>
      <c r="C1509" s="1284"/>
      <c r="D1509" s="1459" t="s">
        <v>584</v>
      </c>
      <c r="E1509" s="1460"/>
      <c r="F1509" s="539">
        <f>F1510</f>
        <v>115000</v>
      </c>
    </row>
    <row r="1510" spans="1:6" ht="17.100000000000001" customHeight="1">
      <c r="A1510" s="530"/>
      <c r="B1510" s="1283"/>
      <c r="C1510" s="1284"/>
      <c r="D1510" s="1481" t="s">
        <v>595</v>
      </c>
      <c r="E1510" s="1482"/>
      <c r="F1510" s="539">
        <f>SUM(F1511:F1513)</f>
        <v>115000</v>
      </c>
    </row>
    <row r="1511" spans="1:6" ht="17.100000000000001" hidden="1" customHeight="1">
      <c r="A1511" s="530"/>
      <c r="B1511" s="1283"/>
      <c r="C1511" s="1312"/>
      <c r="D1511" s="600" t="s">
        <v>598</v>
      </c>
      <c r="E1511" s="694" t="s">
        <v>599</v>
      </c>
      <c r="F1511" s="539"/>
    </row>
    <row r="1512" spans="1:6" ht="17.100000000000001" customHeight="1">
      <c r="A1512" s="530"/>
      <c r="B1512" s="1283"/>
      <c r="C1512" s="1284"/>
      <c r="D1512" s="550" t="s">
        <v>406</v>
      </c>
      <c r="E1512" s="538" t="s">
        <v>608</v>
      </c>
      <c r="F1512" s="539">
        <v>100000</v>
      </c>
    </row>
    <row r="1513" spans="1:6" ht="17.100000000000001" customHeight="1" thickBot="1">
      <c r="A1513" s="530"/>
      <c r="B1513" s="1283"/>
      <c r="C1513" s="1284"/>
      <c r="D1513" s="551" t="s">
        <v>664</v>
      </c>
      <c r="E1513" s="552" t="s">
        <v>649</v>
      </c>
      <c r="F1513" s="553">
        <v>15000</v>
      </c>
    </row>
    <row r="1514" spans="1:6" ht="17.100000000000001" customHeight="1" thickBot="1">
      <c r="A1514" s="526" t="s">
        <v>10</v>
      </c>
      <c r="B1514" s="1277"/>
      <c r="C1514" s="1278"/>
      <c r="D1514" s="527"/>
      <c r="E1514" s="528" t="s">
        <v>919</v>
      </c>
      <c r="F1514" s="529">
        <f>F1515+F1523+F1528+F1533+F1542+F1547+F1556+F1561+F1571+F1575</f>
        <v>53297465</v>
      </c>
    </row>
    <row r="1515" spans="1:6" ht="17.100000000000001" customHeight="1">
      <c r="A1515" s="530"/>
      <c r="B1515" s="1279" t="s">
        <v>147</v>
      </c>
      <c r="C1515" s="1280"/>
      <c r="D1515" s="531"/>
      <c r="E1515" s="532" t="s">
        <v>920</v>
      </c>
      <c r="F1515" s="533">
        <f>F1516</f>
        <v>640000</v>
      </c>
    </row>
    <row r="1516" spans="1:6" ht="17.100000000000001" customHeight="1">
      <c r="A1516" s="530"/>
      <c r="B1516" s="1281"/>
      <c r="C1516" s="1282"/>
      <c r="D1516" s="1285" t="s">
        <v>583</v>
      </c>
      <c r="E1516" s="1286"/>
      <c r="F1516" s="534">
        <f>F1517+F1520</f>
        <v>640000</v>
      </c>
    </row>
    <row r="1517" spans="1:6" ht="17.100000000000001" customHeight="1">
      <c r="A1517" s="530"/>
      <c r="B1517" s="1283"/>
      <c r="C1517" s="1284"/>
      <c r="D1517" s="1287" t="s">
        <v>643</v>
      </c>
      <c r="E1517" s="1291"/>
      <c r="F1517" s="539">
        <f>F1518</f>
        <v>500000</v>
      </c>
    </row>
    <row r="1518" spans="1:6" ht="45.75" customHeight="1">
      <c r="A1518" s="530"/>
      <c r="B1518" s="1283"/>
      <c r="C1518" s="1284"/>
      <c r="D1518" s="537" t="s">
        <v>665</v>
      </c>
      <c r="E1518" s="538" t="s">
        <v>666</v>
      </c>
      <c r="F1518" s="539">
        <v>500000</v>
      </c>
    </row>
    <row r="1519" spans="1:6" ht="17.100000000000001" customHeight="1">
      <c r="A1519" s="530"/>
      <c r="B1519" s="1283"/>
      <c r="C1519" s="1284"/>
      <c r="D1519" s="1268"/>
      <c r="E1519" s="1270"/>
      <c r="F1519" s="1271"/>
    </row>
    <row r="1520" spans="1:6" ht="17.100000000000001" customHeight="1">
      <c r="A1520" s="530"/>
      <c r="B1520" s="1283"/>
      <c r="C1520" s="1284"/>
      <c r="D1520" s="1293" t="s">
        <v>629</v>
      </c>
      <c r="E1520" s="1294"/>
      <c r="F1520" s="539">
        <f>SUM(F1521:F1522)</f>
        <v>140000</v>
      </c>
    </row>
    <row r="1521" spans="1:6" ht="17.100000000000001" customHeight="1">
      <c r="A1521" s="530"/>
      <c r="B1521" s="1283"/>
      <c r="C1521" s="1284"/>
      <c r="D1521" s="537" t="s">
        <v>841</v>
      </c>
      <c r="E1521" s="538" t="s">
        <v>842</v>
      </c>
      <c r="F1521" s="539">
        <v>120000</v>
      </c>
    </row>
    <row r="1522" spans="1:6" ht="17.100000000000001" customHeight="1">
      <c r="A1522" s="530"/>
      <c r="B1522" s="1298"/>
      <c r="C1522" s="1299"/>
      <c r="D1522" s="537" t="s">
        <v>847</v>
      </c>
      <c r="E1522" s="538" t="s">
        <v>848</v>
      </c>
      <c r="F1522" s="539">
        <v>20000</v>
      </c>
    </row>
    <row r="1523" spans="1:6" ht="17.100000000000001" customHeight="1">
      <c r="A1523" s="530"/>
      <c r="B1523" s="1295" t="s">
        <v>921</v>
      </c>
      <c r="C1523" s="1296"/>
      <c r="D1523" s="542"/>
      <c r="E1523" s="543" t="s">
        <v>922</v>
      </c>
      <c r="F1523" s="544">
        <f>SUM(F1524)</f>
        <v>4872100</v>
      </c>
    </row>
    <row r="1524" spans="1:6" ht="17.100000000000001" customHeight="1">
      <c r="A1524" s="530"/>
      <c r="B1524" s="1281"/>
      <c r="C1524" s="1282"/>
      <c r="D1524" s="1285" t="s">
        <v>583</v>
      </c>
      <c r="E1524" s="1286"/>
      <c r="F1524" s="534">
        <f>F1525</f>
        <v>4872100</v>
      </c>
    </row>
    <row r="1525" spans="1:6" ht="17.100000000000001" customHeight="1">
      <c r="A1525" s="530"/>
      <c r="B1525" s="1283"/>
      <c r="C1525" s="1284"/>
      <c r="D1525" s="1287" t="s">
        <v>643</v>
      </c>
      <c r="E1525" s="1291"/>
      <c r="F1525" s="539">
        <f>F1526+F1527</f>
        <v>4872100</v>
      </c>
    </row>
    <row r="1526" spans="1:6" ht="17.100000000000001" customHeight="1">
      <c r="A1526" s="530"/>
      <c r="B1526" s="1283"/>
      <c r="C1526" s="1284"/>
      <c r="D1526" s="537" t="s">
        <v>923</v>
      </c>
      <c r="E1526" s="538" t="s">
        <v>924</v>
      </c>
      <c r="F1526" s="539">
        <v>4672100</v>
      </c>
    </row>
    <row r="1527" spans="1:6" ht="27.75" customHeight="1">
      <c r="A1527" s="530"/>
      <c r="B1527" s="1283"/>
      <c r="C1527" s="1284"/>
      <c r="D1527" s="537" t="s">
        <v>925</v>
      </c>
      <c r="E1527" s="538" t="s">
        <v>926</v>
      </c>
      <c r="F1527" s="539">
        <v>200000</v>
      </c>
    </row>
    <row r="1528" spans="1:6" ht="17.100000000000001" customHeight="1">
      <c r="A1528" s="530"/>
      <c r="B1528" s="1295" t="s">
        <v>927</v>
      </c>
      <c r="C1528" s="1296"/>
      <c r="D1528" s="542"/>
      <c r="E1528" s="543" t="s">
        <v>928</v>
      </c>
      <c r="F1528" s="544">
        <f>F1529</f>
        <v>6521000</v>
      </c>
    </row>
    <row r="1529" spans="1:6" ht="17.100000000000001" customHeight="1">
      <c r="A1529" s="530"/>
      <c r="B1529" s="1281"/>
      <c r="C1529" s="1282"/>
      <c r="D1529" s="1285" t="s">
        <v>583</v>
      </c>
      <c r="E1529" s="1286"/>
      <c r="F1529" s="534">
        <f>F1530</f>
        <v>6521000</v>
      </c>
    </row>
    <row r="1530" spans="1:6" ht="17.100000000000001" customHeight="1">
      <c r="A1530" s="530"/>
      <c r="B1530" s="1283"/>
      <c r="C1530" s="1284"/>
      <c r="D1530" s="1287" t="s">
        <v>643</v>
      </c>
      <c r="E1530" s="1291"/>
      <c r="F1530" s="539">
        <f>SUM(F1531:F1532)</f>
        <v>6521000</v>
      </c>
    </row>
    <row r="1531" spans="1:6" ht="17.100000000000001" customHeight="1">
      <c r="A1531" s="530"/>
      <c r="B1531" s="1283"/>
      <c r="C1531" s="1284"/>
      <c r="D1531" s="537" t="s">
        <v>923</v>
      </c>
      <c r="E1531" s="538" t="s">
        <v>924</v>
      </c>
      <c r="F1531" s="539">
        <f>5821000+200000</f>
        <v>6021000</v>
      </c>
    </row>
    <row r="1532" spans="1:6" ht="28.5" customHeight="1">
      <c r="A1532" s="530"/>
      <c r="B1532" s="1268"/>
      <c r="C1532" s="1269"/>
      <c r="D1532" s="537" t="s">
        <v>925</v>
      </c>
      <c r="E1532" s="538" t="s">
        <v>926</v>
      </c>
      <c r="F1532" s="539">
        <v>500000</v>
      </c>
    </row>
    <row r="1533" spans="1:6" ht="17.100000000000001" customHeight="1">
      <c r="A1533" s="530"/>
      <c r="B1533" s="1295" t="s">
        <v>929</v>
      </c>
      <c r="C1533" s="1296"/>
      <c r="D1533" s="542"/>
      <c r="E1533" s="543" t="s">
        <v>930</v>
      </c>
      <c r="F1533" s="544">
        <f>F1534+F1539</f>
        <v>6639120</v>
      </c>
    </row>
    <row r="1534" spans="1:6" ht="17.100000000000001" customHeight="1">
      <c r="A1534" s="530"/>
      <c r="B1534" s="1281"/>
      <c r="C1534" s="1282"/>
      <c r="D1534" s="1285" t="s">
        <v>583</v>
      </c>
      <c r="E1534" s="1286"/>
      <c r="F1534" s="534">
        <f>F1535</f>
        <v>6559120</v>
      </c>
    </row>
    <row r="1535" spans="1:6" ht="17.100000000000001" customHeight="1">
      <c r="A1535" s="530"/>
      <c r="B1535" s="1283"/>
      <c r="C1535" s="1284"/>
      <c r="D1535" s="1287" t="s">
        <v>643</v>
      </c>
      <c r="E1535" s="1291"/>
      <c r="F1535" s="539">
        <f>SUM(F1536:F1537)</f>
        <v>6559120</v>
      </c>
    </row>
    <row r="1536" spans="1:6" ht="17.100000000000001" customHeight="1">
      <c r="A1536" s="530"/>
      <c r="B1536" s="1283"/>
      <c r="C1536" s="1284"/>
      <c r="D1536" s="537" t="s">
        <v>923</v>
      </c>
      <c r="E1536" s="538" t="s">
        <v>924</v>
      </c>
      <c r="F1536" s="539">
        <v>5534120</v>
      </c>
    </row>
    <row r="1537" spans="1:6" ht="24.75" customHeight="1">
      <c r="A1537" s="530"/>
      <c r="B1537" s="1313"/>
      <c r="C1537" s="1338"/>
      <c r="D1537" s="537" t="s">
        <v>925</v>
      </c>
      <c r="E1537" s="538" t="s">
        <v>926</v>
      </c>
      <c r="F1537" s="539">
        <v>1025000</v>
      </c>
    </row>
    <row r="1538" spans="1:6" ht="15">
      <c r="A1538" s="530"/>
      <c r="B1538" s="1313"/>
      <c r="C1538" s="1338"/>
      <c r="D1538" s="1268"/>
      <c r="E1538" s="1315"/>
      <c r="F1538" s="1316"/>
    </row>
    <row r="1539" spans="1:6" ht="15">
      <c r="A1539" s="530"/>
      <c r="B1539" s="1313"/>
      <c r="C1539" s="1338"/>
      <c r="D1539" s="1318" t="s">
        <v>636</v>
      </c>
      <c r="E1539" s="1394"/>
      <c r="F1539" s="539">
        <f>F1540</f>
        <v>80000</v>
      </c>
    </row>
    <row r="1540" spans="1:6" ht="15">
      <c r="A1540" s="530"/>
      <c r="B1540" s="1313"/>
      <c r="C1540" s="1338"/>
      <c r="D1540" s="1293" t="s">
        <v>637</v>
      </c>
      <c r="E1540" s="1411"/>
      <c r="F1540" s="539">
        <f>F1541</f>
        <v>80000</v>
      </c>
    </row>
    <row r="1541" spans="1:6" ht="38.25">
      <c r="A1541" s="530"/>
      <c r="B1541" s="1339"/>
      <c r="C1541" s="1340"/>
      <c r="D1541" s="557" t="s">
        <v>855</v>
      </c>
      <c r="E1541" s="695" t="s">
        <v>856</v>
      </c>
      <c r="F1541" s="539">
        <v>80000</v>
      </c>
    </row>
    <row r="1542" spans="1:6" ht="17.100000000000001" customHeight="1">
      <c r="A1542" s="530"/>
      <c r="B1542" s="1295" t="s">
        <v>931</v>
      </c>
      <c r="C1542" s="1296"/>
      <c r="D1542" s="542"/>
      <c r="E1542" s="543" t="s">
        <v>932</v>
      </c>
      <c r="F1542" s="544">
        <f>F1543</f>
        <v>508000</v>
      </c>
    </row>
    <row r="1543" spans="1:6" ht="17.100000000000001" customHeight="1">
      <c r="A1543" s="530"/>
      <c r="B1543" s="1281"/>
      <c r="C1543" s="1282"/>
      <c r="D1543" s="1285" t="s">
        <v>583</v>
      </c>
      <c r="E1543" s="1286"/>
      <c r="F1543" s="534">
        <f>F1544</f>
        <v>508000</v>
      </c>
    </row>
    <row r="1544" spans="1:6" ht="17.100000000000001" customHeight="1">
      <c r="A1544" s="530"/>
      <c r="B1544" s="1283"/>
      <c r="C1544" s="1284"/>
      <c r="D1544" s="1287" t="s">
        <v>643</v>
      </c>
      <c r="E1544" s="1291"/>
      <c r="F1544" s="539">
        <f>F1545+F1546</f>
        <v>508000</v>
      </c>
    </row>
    <row r="1545" spans="1:6" ht="17.100000000000001" customHeight="1">
      <c r="A1545" s="530"/>
      <c r="B1545" s="1283"/>
      <c r="C1545" s="1284"/>
      <c r="D1545" s="537" t="s">
        <v>923</v>
      </c>
      <c r="E1545" s="538" t="s">
        <v>924</v>
      </c>
      <c r="F1545" s="539">
        <v>508000</v>
      </c>
    </row>
    <row r="1546" spans="1:6" ht="25.5" hidden="1" customHeight="1">
      <c r="A1546" s="530"/>
      <c r="B1546" s="1298"/>
      <c r="C1546" s="1299"/>
      <c r="D1546" s="537" t="s">
        <v>925</v>
      </c>
      <c r="E1546" s="538" t="s">
        <v>926</v>
      </c>
      <c r="F1546" s="539">
        <v>0</v>
      </c>
    </row>
    <row r="1547" spans="1:6" ht="17.100000000000001" customHeight="1">
      <c r="A1547" s="530"/>
      <c r="B1547" s="1295" t="s">
        <v>933</v>
      </c>
      <c r="C1547" s="1296"/>
      <c r="D1547" s="542"/>
      <c r="E1547" s="543" t="s">
        <v>934</v>
      </c>
      <c r="F1547" s="544">
        <f>F1548+F1553</f>
        <v>1450000</v>
      </c>
    </row>
    <row r="1548" spans="1:6" ht="17.100000000000001" customHeight="1">
      <c r="A1548" s="530"/>
      <c r="B1548" s="1281"/>
      <c r="C1548" s="1282"/>
      <c r="D1548" s="1285" t="s">
        <v>583</v>
      </c>
      <c r="E1548" s="1286"/>
      <c r="F1548" s="534">
        <f>F1549</f>
        <v>1370000</v>
      </c>
    </row>
    <row r="1549" spans="1:6" ht="17.100000000000001" customHeight="1">
      <c r="A1549" s="530"/>
      <c r="B1549" s="1283"/>
      <c r="C1549" s="1284"/>
      <c r="D1549" s="1287" t="s">
        <v>643</v>
      </c>
      <c r="E1549" s="1291"/>
      <c r="F1549" s="539">
        <f>SUM(F1550:F1551)</f>
        <v>1370000</v>
      </c>
    </row>
    <row r="1550" spans="1:6" ht="17.100000000000001" customHeight="1">
      <c r="A1550" s="530"/>
      <c r="B1550" s="1283"/>
      <c r="C1550" s="1284"/>
      <c r="D1550" s="537" t="s">
        <v>923</v>
      </c>
      <c r="E1550" s="538" t="s">
        <v>924</v>
      </c>
      <c r="F1550" s="539">
        <v>1360000</v>
      </c>
    </row>
    <row r="1551" spans="1:6" ht="25.5">
      <c r="A1551" s="530"/>
      <c r="B1551" s="1283"/>
      <c r="C1551" s="1284"/>
      <c r="D1551" s="537" t="s">
        <v>925</v>
      </c>
      <c r="E1551" s="538" t="s">
        <v>926</v>
      </c>
      <c r="F1551" s="539">
        <v>10000</v>
      </c>
    </row>
    <row r="1552" spans="1:6">
      <c r="A1552" s="530"/>
      <c r="B1552" s="1283"/>
      <c r="C1552" s="1284"/>
      <c r="D1552" s="1268"/>
      <c r="E1552" s="1270"/>
      <c r="F1552" s="1271"/>
    </row>
    <row r="1553" spans="1:6">
      <c r="A1553" s="530"/>
      <c r="B1553" s="1283"/>
      <c r="C1553" s="1284"/>
      <c r="D1553" s="1318" t="s">
        <v>636</v>
      </c>
      <c r="E1553" s="1319"/>
      <c r="F1553" s="534">
        <f>F1554</f>
        <v>80000</v>
      </c>
    </row>
    <row r="1554" spans="1:6">
      <c r="A1554" s="530"/>
      <c r="B1554" s="1283"/>
      <c r="C1554" s="1284"/>
      <c r="D1554" s="1293" t="s">
        <v>705</v>
      </c>
      <c r="E1554" s="1294"/>
      <c r="F1554" s="539">
        <f>F1555</f>
        <v>80000</v>
      </c>
    </row>
    <row r="1555" spans="1:6" ht="38.25">
      <c r="A1555" s="530"/>
      <c r="B1555" s="1298"/>
      <c r="C1555" s="1299"/>
      <c r="D1555" s="537" t="s">
        <v>855</v>
      </c>
      <c r="E1555" s="538" t="s">
        <v>856</v>
      </c>
      <c r="F1555" s="539">
        <v>80000</v>
      </c>
    </row>
    <row r="1556" spans="1:6" ht="17.100000000000001" customHeight="1">
      <c r="A1556" s="530"/>
      <c r="B1556" s="1295" t="s">
        <v>11</v>
      </c>
      <c r="C1556" s="1296"/>
      <c r="D1556" s="542"/>
      <c r="E1556" s="543" t="s">
        <v>12</v>
      </c>
      <c r="F1556" s="544">
        <f>SUM(F1557)</f>
        <v>7317016</v>
      </c>
    </row>
    <row r="1557" spans="1:6" ht="17.100000000000001" customHeight="1">
      <c r="A1557" s="530"/>
      <c r="B1557" s="1281"/>
      <c r="C1557" s="1282"/>
      <c r="D1557" s="1285" t="s">
        <v>583</v>
      </c>
      <c r="E1557" s="1286"/>
      <c r="F1557" s="534">
        <f>F1558</f>
        <v>7317016</v>
      </c>
    </row>
    <row r="1558" spans="1:6" ht="17.100000000000001" customHeight="1">
      <c r="A1558" s="530"/>
      <c r="B1558" s="1283"/>
      <c r="C1558" s="1284"/>
      <c r="D1558" s="1287" t="s">
        <v>643</v>
      </c>
      <c r="E1558" s="1291"/>
      <c r="F1558" s="539">
        <f>SUM(F1559:F1560)</f>
        <v>7317016</v>
      </c>
    </row>
    <row r="1559" spans="1:6" ht="17.100000000000001" customHeight="1">
      <c r="A1559" s="530"/>
      <c r="B1559" s="1283"/>
      <c r="C1559" s="1284"/>
      <c r="D1559" s="537" t="s">
        <v>923</v>
      </c>
      <c r="E1559" s="538" t="s">
        <v>924</v>
      </c>
      <c r="F1559" s="539">
        <v>7214016</v>
      </c>
    </row>
    <row r="1560" spans="1:6" ht="25.5">
      <c r="A1560" s="530"/>
      <c r="B1560" s="1283"/>
      <c r="C1560" s="1284"/>
      <c r="D1560" s="537" t="s">
        <v>925</v>
      </c>
      <c r="E1560" s="538" t="s">
        <v>926</v>
      </c>
      <c r="F1560" s="539">
        <v>103000</v>
      </c>
    </row>
    <row r="1561" spans="1:6" ht="17.100000000000001" customHeight="1">
      <c r="A1561" s="530"/>
      <c r="B1561" s="1295" t="s">
        <v>118</v>
      </c>
      <c r="C1561" s="1296"/>
      <c r="D1561" s="542"/>
      <c r="E1561" s="543" t="s">
        <v>120</v>
      </c>
      <c r="F1561" s="544">
        <f>F1562+F1568</f>
        <v>21019098</v>
      </c>
    </row>
    <row r="1562" spans="1:6" ht="17.100000000000001" customHeight="1">
      <c r="A1562" s="530"/>
      <c r="B1562" s="1281"/>
      <c r="C1562" s="1282"/>
      <c r="D1562" s="1285" t="s">
        <v>583</v>
      </c>
      <c r="E1562" s="1286"/>
      <c r="F1562" s="534">
        <f>F1563</f>
        <v>20949098</v>
      </c>
    </row>
    <row r="1563" spans="1:6" ht="17.100000000000001" customHeight="1">
      <c r="A1563" s="530"/>
      <c r="B1563" s="1283"/>
      <c r="C1563" s="1284"/>
      <c r="D1563" s="1287" t="s">
        <v>643</v>
      </c>
      <c r="E1563" s="1291"/>
      <c r="F1563" s="539">
        <f>SUM(F1564:F1566)</f>
        <v>20949098</v>
      </c>
    </row>
    <row r="1564" spans="1:6" ht="17.100000000000001" customHeight="1">
      <c r="A1564" s="530"/>
      <c r="B1564" s="1283"/>
      <c r="C1564" s="1284"/>
      <c r="D1564" s="537" t="s">
        <v>923</v>
      </c>
      <c r="E1564" s="538" t="s">
        <v>924</v>
      </c>
      <c r="F1564" s="539">
        <v>19991598</v>
      </c>
    </row>
    <row r="1565" spans="1:6" ht="29.25" customHeight="1">
      <c r="A1565" s="530"/>
      <c r="B1565" s="545"/>
      <c r="C1565" s="546"/>
      <c r="D1565" s="537" t="s">
        <v>910</v>
      </c>
      <c r="E1565" s="538" t="s">
        <v>935</v>
      </c>
      <c r="F1565" s="539">
        <v>500000</v>
      </c>
    </row>
    <row r="1566" spans="1:6" ht="27" customHeight="1">
      <c r="A1566" s="530"/>
      <c r="B1566" s="1268"/>
      <c r="C1566" s="1269"/>
      <c r="D1566" s="537" t="s">
        <v>925</v>
      </c>
      <c r="E1566" s="538" t="s">
        <v>926</v>
      </c>
      <c r="F1566" s="539">
        <v>457500</v>
      </c>
    </row>
    <row r="1567" spans="1:6" ht="17.100000000000001" customHeight="1">
      <c r="A1567" s="530"/>
      <c r="B1567" s="540"/>
      <c r="C1567" s="541"/>
      <c r="D1567" s="1268"/>
      <c r="E1567" s="1270"/>
      <c r="F1567" s="1271"/>
    </row>
    <row r="1568" spans="1:6" ht="17.100000000000001" customHeight="1">
      <c r="A1568" s="530"/>
      <c r="B1568" s="540"/>
      <c r="C1568" s="541"/>
      <c r="D1568" s="1318" t="s">
        <v>636</v>
      </c>
      <c r="E1568" s="1319"/>
      <c r="F1568" s="534">
        <f>F1569</f>
        <v>70000</v>
      </c>
    </row>
    <row r="1569" spans="1:9" ht="17.100000000000001" customHeight="1">
      <c r="A1569" s="530"/>
      <c r="B1569" s="540"/>
      <c r="C1569" s="541"/>
      <c r="D1569" s="1293" t="s">
        <v>637</v>
      </c>
      <c r="E1569" s="1294"/>
      <c r="F1569" s="539">
        <f>F1570</f>
        <v>70000</v>
      </c>
    </row>
    <row r="1570" spans="1:9" ht="38.25">
      <c r="A1570" s="530"/>
      <c r="B1570" s="1303"/>
      <c r="C1570" s="1334"/>
      <c r="D1570" s="537" t="s">
        <v>855</v>
      </c>
      <c r="E1570" s="538" t="s">
        <v>856</v>
      </c>
      <c r="F1570" s="539">
        <v>70000</v>
      </c>
    </row>
    <row r="1571" spans="1:9" ht="17.100000000000001" customHeight="1">
      <c r="A1571" s="530"/>
      <c r="B1571" s="1295" t="s">
        <v>148</v>
      </c>
      <c r="C1571" s="1296"/>
      <c r="D1571" s="542"/>
      <c r="E1571" s="543" t="s">
        <v>936</v>
      </c>
      <c r="F1571" s="544">
        <f>SUM(F1572)</f>
        <v>500000</v>
      </c>
    </row>
    <row r="1572" spans="1:9" ht="17.100000000000001" customHeight="1">
      <c r="A1572" s="530"/>
      <c r="B1572" s="1281"/>
      <c r="C1572" s="1282"/>
      <c r="D1572" s="1285" t="s">
        <v>583</v>
      </c>
      <c r="E1572" s="1286"/>
      <c r="F1572" s="534">
        <f>F1573</f>
        <v>500000</v>
      </c>
    </row>
    <row r="1573" spans="1:9" ht="17.100000000000001" customHeight="1">
      <c r="A1573" s="530"/>
      <c r="B1573" s="1283"/>
      <c r="C1573" s="1284"/>
      <c r="D1573" s="1287" t="s">
        <v>643</v>
      </c>
      <c r="E1573" s="1291"/>
      <c r="F1573" s="539">
        <f>F1574</f>
        <v>500000</v>
      </c>
    </row>
    <row r="1574" spans="1:9" ht="41.25" customHeight="1">
      <c r="A1574" s="530"/>
      <c r="B1574" s="1268"/>
      <c r="C1574" s="1269"/>
      <c r="D1574" s="537" t="s">
        <v>937</v>
      </c>
      <c r="E1574" s="538" t="s">
        <v>938</v>
      </c>
      <c r="F1574" s="539">
        <v>500000</v>
      </c>
    </row>
    <row r="1575" spans="1:9" ht="17.100000000000001" customHeight="1">
      <c r="A1575" s="530"/>
      <c r="B1575" s="1295" t="s">
        <v>425</v>
      </c>
      <c r="C1575" s="1296"/>
      <c r="D1575" s="542"/>
      <c r="E1575" s="543" t="s">
        <v>238</v>
      </c>
      <c r="F1575" s="544">
        <f>F1576+F1587</f>
        <v>3831131</v>
      </c>
    </row>
    <row r="1576" spans="1:9" ht="17.100000000000001" customHeight="1">
      <c r="A1576" s="530"/>
      <c r="B1576" s="1485"/>
      <c r="C1576" s="1486"/>
      <c r="D1576" s="1318" t="s">
        <v>583</v>
      </c>
      <c r="E1576" s="1319"/>
      <c r="F1576" s="534">
        <f>F1577</f>
        <v>183000</v>
      </c>
    </row>
    <row r="1577" spans="1:9" ht="17.100000000000001" customHeight="1">
      <c r="A1577" s="530"/>
      <c r="B1577" s="1485"/>
      <c r="C1577" s="1486"/>
      <c r="D1577" s="1287" t="s">
        <v>584</v>
      </c>
      <c r="E1577" s="1291"/>
      <c r="F1577" s="539">
        <f>SUM(F1578,F1583)</f>
        <v>183000</v>
      </c>
    </row>
    <row r="1578" spans="1:9" ht="17.100000000000001" customHeight="1">
      <c r="A1578" s="530"/>
      <c r="B1578" s="1485"/>
      <c r="C1578" s="1486"/>
      <c r="D1578" s="1474" t="s">
        <v>585</v>
      </c>
      <c r="E1578" s="1475"/>
      <c r="F1578" s="539">
        <f>SUM(F1579:F1581)</f>
        <v>50000</v>
      </c>
    </row>
    <row r="1579" spans="1:9" ht="17.100000000000001" customHeight="1">
      <c r="A1579" s="530"/>
      <c r="B1579" s="1485"/>
      <c r="C1579" s="1486"/>
      <c r="D1579" s="537" t="s">
        <v>589</v>
      </c>
      <c r="E1579" s="538" t="s">
        <v>590</v>
      </c>
      <c r="F1579" s="539">
        <v>3810</v>
      </c>
    </row>
    <row r="1580" spans="1:9" ht="17.100000000000001" customHeight="1">
      <c r="A1580" s="530"/>
      <c r="B1580" s="1485"/>
      <c r="C1580" s="1486"/>
      <c r="D1580" s="537" t="s">
        <v>591</v>
      </c>
      <c r="E1580" s="538" t="s">
        <v>592</v>
      </c>
      <c r="F1580" s="539">
        <v>390</v>
      </c>
    </row>
    <row r="1581" spans="1:9" ht="17.100000000000001" customHeight="1">
      <c r="A1581" s="530"/>
      <c r="B1581" s="1485"/>
      <c r="C1581" s="1486"/>
      <c r="D1581" s="537" t="s">
        <v>593</v>
      </c>
      <c r="E1581" s="538" t="s">
        <v>594</v>
      </c>
      <c r="F1581" s="539">
        <v>45800</v>
      </c>
    </row>
    <row r="1582" spans="1:9" ht="17.100000000000001" customHeight="1">
      <c r="A1582" s="530"/>
      <c r="B1582" s="1485"/>
      <c r="C1582" s="1486"/>
      <c r="D1582" s="615"/>
      <c r="E1582" s="616"/>
      <c r="F1582" s="539"/>
    </row>
    <row r="1583" spans="1:9" ht="17.100000000000001" customHeight="1">
      <c r="A1583" s="530"/>
      <c r="B1583" s="1485"/>
      <c r="C1583" s="1486"/>
      <c r="D1583" s="1266" t="s">
        <v>595</v>
      </c>
      <c r="E1583" s="1267"/>
      <c r="F1583" s="539">
        <f>SUM(F1584:F1585)</f>
        <v>133000</v>
      </c>
    </row>
    <row r="1584" spans="1:9" ht="17.100000000000001" customHeight="1">
      <c r="A1584" s="530"/>
      <c r="B1584" s="1485"/>
      <c r="C1584" s="1486"/>
      <c r="D1584" s="537" t="s">
        <v>598</v>
      </c>
      <c r="E1584" s="538" t="s">
        <v>599</v>
      </c>
      <c r="F1584" s="539">
        <f>3000+7000</f>
        <v>10000</v>
      </c>
      <c r="H1584" s="514" t="s">
        <v>780</v>
      </c>
      <c r="I1584" s="514" t="s">
        <v>939</v>
      </c>
    </row>
    <row r="1585" spans="1:9" ht="17.100000000000001" customHeight="1">
      <c r="A1585" s="530"/>
      <c r="B1585" s="1485"/>
      <c r="C1585" s="1486"/>
      <c r="D1585" s="537" t="s">
        <v>406</v>
      </c>
      <c r="E1585" s="538" t="s">
        <v>608</v>
      </c>
      <c r="F1585" s="539">
        <f>15000+108000</f>
        <v>123000</v>
      </c>
      <c r="H1585" s="514" t="s">
        <v>940</v>
      </c>
      <c r="I1585" s="514" t="s">
        <v>941</v>
      </c>
    </row>
    <row r="1586" spans="1:9" ht="17.100000000000001" customHeight="1">
      <c r="A1586" s="530"/>
      <c r="B1586" s="696"/>
      <c r="C1586" s="671"/>
      <c r="D1586" s="557"/>
      <c r="E1586" s="549"/>
      <c r="F1586" s="539"/>
    </row>
    <row r="1587" spans="1:9" ht="17.100000000000001" customHeight="1">
      <c r="A1587" s="530"/>
      <c r="B1587" s="540"/>
      <c r="C1587" s="581"/>
      <c r="D1587" s="1318" t="s">
        <v>636</v>
      </c>
      <c r="E1587" s="1483"/>
      <c r="F1587" s="534">
        <f>F1588</f>
        <v>3648131</v>
      </c>
    </row>
    <row r="1588" spans="1:9" ht="17.100000000000001" customHeight="1">
      <c r="A1588" s="530"/>
      <c r="B1588" s="540"/>
      <c r="C1588" s="581"/>
      <c r="D1588" s="1335" t="s">
        <v>637</v>
      </c>
      <c r="E1588" s="1484"/>
      <c r="F1588" s="539">
        <f>SUM(F1589:F1591)</f>
        <v>3648131</v>
      </c>
    </row>
    <row r="1589" spans="1:9" ht="17.100000000000001" customHeight="1">
      <c r="A1589" s="530"/>
      <c r="B1589" s="540"/>
      <c r="C1589" s="581"/>
      <c r="D1589" s="697" t="s">
        <v>471</v>
      </c>
      <c r="E1589" s="698" t="s">
        <v>638</v>
      </c>
      <c r="F1589" s="539">
        <v>177598</v>
      </c>
    </row>
    <row r="1590" spans="1:9" ht="17.100000000000001" customHeight="1">
      <c r="A1590" s="530"/>
      <c r="B1590" s="540"/>
      <c r="C1590" s="581"/>
      <c r="D1590" s="628" t="s">
        <v>414</v>
      </c>
      <c r="E1590" s="698" t="s">
        <v>638</v>
      </c>
      <c r="F1590" s="553">
        <v>2949953</v>
      </c>
    </row>
    <row r="1591" spans="1:9" ht="17.100000000000001" customHeight="1">
      <c r="A1591" s="530"/>
      <c r="B1591" s="540"/>
      <c r="C1591" s="581"/>
      <c r="D1591" s="697" t="s">
        <v>472</v>
      </c>
      <c r="E1591" s="698" t="s">
        <v>638</v>
      </c>
      <c r="F1591" s="539">
        <v>520580</v>
      </c>
    </row>
    <row r="1592" spans="1:9" ht="17.100000000000001" customHeight="1">
      <c r="A1592" s="530"/>
      <c r="B1592" s="540"/>
      <c r="C1592" s="581"/>
      <c r="D1592" s="628"/>
      <c r="E1592" s="698"/>
      <c r="F1592" s="539"/>
    </row>
    <row r="1593" spans="1:9" ht="17.100000000000001" customHeight="1">
      <c r="A1593" s="530"/>
      <c r="B1593" s="540"/>
      <c r="C1593" s="581"/>
      <c r="D1593" s="1266" t="s">
        <v>641</v>
      </c>
      <c r="E1593" s="1297"/>
      <c r="F1593" s="539">
        <f>SUM(F1594:F1595)</f>
        <v>3470533</v>
      </c>
    </row>
    <row r="1594" spans="1:9" ht="17.100000000000001" customHeight="1">
      <c r="A1594" s="530"/>
      <c r="B1594" s="540"/>
      <c r="C1594" s="581"/>
      <c r="D1594" s="628" t="s">
        <v>414</v>
      </c>
      <c r="E1594" s="699" t="s">
        <v>638</v>
      </c>
      <c r="F1594" s="553">
        <v>2949953</v>
      </c>
    </row>
    <row r="1595" spans="1:9" ht="17.100000000000001" customHeight="1" thickBot="1">
      <c r="A1595" s="530"/>
      <c r="B1595" s="540"/>
      <c r="C1595" s="581"/>
      <c r="D1595" s="656" t="s">
        <v>472</v>
      </c>
      <c r="E1595" s="700" t="s">
        <v>638</v>
      </c>
      <c r="F1595" s="701">
        <v>520580</v>
      </c>
    </row>
    <row r="1596" spans="1:9" ht="27.75" customHeight="1" thickBot="1">
      <c r="A1596" s="526" t="s">
        <v>942</v>
      </c>
      <c r="B1596" s="1277"/>
      <c r="C1596" s="1278"/>
      <c r="D1596" s="527"/>
      <c r="E1596" s="528" t="s">
        <v>943</v>
      </c>
      <c r="F1596" s="529">
        <f>F1597+F1624</f>
        <v>1095137</v>
      </c>
    </row>
    <row r="1597" spans="1:9" ht="17.100000000000001" customHeight="1">
      <c r="A1597" s="530"/>
      <c r="B1597" s="1279" t="s">
        <v>944</v>
      </c>
      <c r="C1597" s="1280"/>
      <c r="D1597" s="531"/>
      <c r="E1597" s="532" t="s">
        <v>945</v>
      </c>
      <c r="F1597" s="533">
        <f>F1598</f>
        <v>1084137</v>
      </c>
    </row>
    <row r="1598" spans="1:9" ht="17.100000000000001" customHeight="1">
      <c r="A1598" s="530"/>
      <c r="B1598" s="540"/>
      <c r="C1598" s="541"/>
      <c r="D1598" s="1285" t="s">
        <v>583</v>
      </c>
      <c r="E1598" s="1286"/>
      <c r="F1598" s="534">
        <f>F1599+F1622</f>
        <v>1084137</v>
      </c>
    </row>
    <row r="1599" spans="1:9" ht="17.100000000000001" customHeight="1">
      <c r="A1599" s="530"/>
      <c r="B1599" s="540"/>
      <c r="C1599" s="541"/>
      <c r="D1599" s="1459" t="s">
        <v>584</v>
      </c>
      <c r="E1599" s="1460"/>
      <c r="F1599" s="539">
        <f>F1600+F1607</f>
        <v>1037977</v>
      </c>
    </row>
    <row r="1600" spans="1:9" ht="17.100000000000001" customHeight="1">
      <c r="A1600" s="530"/>
      <c r="B1600" s="540"/>
      <c r="C1600" s="541"/>
      <c r="D1600" s="1474" t="s">
        <v>585</v>
      </c>
      <c r="E1600" s="1475"/>
      <c r="F1600" s="539">
        <f>SUM(F1601:F1605)</f>
        <v>814652</v>
      </c>
    </row>
    <row r="1601" spans="1:6" ht="17.100000000000001" customHeight="1">
      <c r="A1601" s="530"/>
      <c r="B1601" s="1268"/>
      <c r="C1601" s="1269"/>
      <c r="D1601" s="537" t="s">
        <v>527</v>
      </c>
      <c r="E1601" s="538" t="s">
        <v>586</v>
      </c>
      <c r="F1601" s="539">
        <v>620709</v>
      </c>
    </row>
    <row r="1602" spans="1:6" ht="17.100000000000001" customHeight="1">
      <c r="A1602" s="530"/>
      <c r="B1602" s="1268"/>
      <c r="C1602" s="1269"/>
      <c r="D1602" s="537" t="s">
        <v>587</v>
      </c>
      <c r="E1602" s="538" t="s">
        <v>588</v>
      </c>
      <c r="F1602" s="539">
        <v>49270</v>
      </c>
    </row>
    <row r="1603" spans="1:6" ht="17.100000000000001" customHeight="1">
      <c r="A1603" s="530"/>
      <c r="B1603" s="1268"/>
      <c r="C1603" s="1269"/>
      <c r="D1603" s="537" t="s">
        <v>589</v>
      </c>
      <c r="E1603" s="538" t="s">
        <v>590</v>
      </c>
      <c r="F1603" s="539">
        <v>123449</v>
      </c>
    </row>
    <row r="1604" spans="1:6" ht="17.100000000000001" customHeight="1">
      <c r="A1604" s="530"/>
      <c r="B1604" s="1268"/>
      <c r="C1604" s="1269"/>
      <c r="D1604" s="537" t="s">
        <v>591</v>
      </c>
      <c r="E1604" s="538" t="s">
        <v>592</v>
      </c>
      <c r="F1604" s="539">
        <v>13724</v>
      </c>
    </row>
    <row r="1605" spans="1:6" ht="17.100000000000001" customHeight="1">
      <c r="A1605" s="530"/>
      <c r="B1605" s="1268"/>
      <c r="C1605" s="1269"/>
      <c r="D1605" s="537" t="s">
        <v>593</v>
      </c>
      <c r="E1605" s="538" t="s">
        <v>594</v>
      </c>
      <c r="F1605" s="539">
        <v>7500</v>
      </c>
    </row>
    <row r="1606" spans="1:6" ht="17.100000000000001" customHeight="1">
      <c r="A1606" s="530"/>
      <c r="B1606" s="540"/>
      <c r="C1606" s="541"/>
      <c r="D1606" s="1268"/>
      <c r="E1606" s="1270"/>
      <c r="F1606" s="1271"/>
    </row>
    <row r="1607" spans="1:6" ht="17.100000000000001" customHeight="1">
      <c r="A1607" s="530"/>
      <c r="B1607" s="540"/>
      <c r="C1607" s="541"/>
      <c r="D1607" s="1266" t="s">
        <v>595</v>
      </c>
      <c r="E1607" s="1267"/>
      <c r="F1607" s="539">
        <f>SUM(F1608:F1620)</f>
        <v>223325</v>
      </c>
    </row>
    <row r="1608" spans="1:6" ht="17.100000000000001" customHeight="1">
      <c r="A1608" s="530"/>
      <c r="B1608" s="540"/>
      <c r="C1608" s="541"/>
      <c r="D1608" s="702" t="s">
        <v>661</v>
      </c>
      <c r="E1608" s="703" t="s">
        <v>648</v>
      </c>
      <c r="F1608" s="539">
        <v>2615</v>
      </c>
    </row>
    <row r="1609" spans="1:6" ht="17.100000000000001" customHeight="1">
      <c r="A1609" s="530"/>
      <c r="B1609" s="1268"/>
      <c r="C1609" s="1269"/>
      <c r="D1609" s="537" t="s">
        <v>598</v>
      </c>
      <c r="E1609" s="538" t="s">
        <v>599</v>
      </c>
      <c r="F1609" s="539">
        <v>40873</v>
      </c>
    </row>
    <row r="1610" spans="1:6" ht="17.100000000000001" customHeight="1">
      <c r="A1610" s="530"/>
      <c r="B1610" s="1268"/>
      <c r="C1610" s="1269"/>
      <c r="D1610" s="537" t="s">
        <v>720</v>
      </c>
      <c r="E1610" s="538" t="s">
        <v>721</v>
      </c>
      <c r="F1610" s="539">
        <v>1000</v>
      </c>
    </row>
    <row r="1611" spans="1:6" ht="17.100000000000001" customHeight="1">
      <c r="A1611" s="530"/>
      <c r="B1611" s="1268"/>
      <c r="C1611" s="1269"/>
      <c r="D1611" s="537" t="s">
        <v>602</v>
      </c>
      <c r="E1611" s="538" t="s">
        <v>603</v>
      </c>
      <c r="F1611" s="539">
        <v>32000</v>
      </c>
    </row>
    <row r="1612" spans="1:6" ht="17.100000000000001" customHeight="1">
      <c r="A1612" s="530"/>
      <c r="B1612" s="1268"/>
      <c r="C1612" s="1269"/>
      <c r="D1612" s="537" t="s">
        <v>606</v>
      </c>
      <c r="E1612" s="538" t="s">
        <v>607</v>
      </c>
      <c r="F1612" s="539">
        <v>500</v>
      </c>
    </row>
    <row r="1613" spans="1:6" ht="17.100000000000001" customHeight="1">
      <c r="A1613" s="530"/>
      <c r="B1613" s="1268"/>
      <c r="C1613" s="1269"/>
      <c r="D1613" s="537" t="s">
        <v>406</v>
      </c>
      <c r="E1613" s="538" t="s">
        <v>608</v>
      </c>
      <c r="F1613" s="539">
        <v>50577</v>
      </c>
    </row>
    <row r="1614" spans="1:6" ht="16.5" customHeight="1">
      <c r="A1614" s="530"/>
      <c r="B1614" s="1268"/>
      <c r="C1614" s="1269"/>
      <c r="D1614" s="537" t="s">
        <v>609</v>
      </c>
      <c r="E1614" s="538" t="s">
        <v>610</v>
      </c>
      <c r="F1614" s="539">
        <v>5600</v>
      </c>
    </row>
    <row r="1615" spans="1:6" ht="20.25" customHeight="1">
      <c r="A1615" s="530"/>
      <c r="B1615" s="1268"/>
      <c r="C1615" s="1269"/>
      <c r="D1615" s="537" t="s">
        <v>611</v>
      </c>
      <c r="E1615" s="538" t="s">
        <v>612</v>
      </c>
      <c r="F1615" s="539">
        <v>62700</v>
      </c>
    </row>
    <row r="1616" spans="1:6" ht="17.100000000000001" customHeight="1">
      <c r="A1616" s="530"/>
      <c r="B1616" s="1268"/>
      <c r="C1616" s="1269"/>
      <c r="D1616" s="537" t="s">
        <v>613</v>
      </c>
      <c r="E1616" s="538" t="s">
        <v>614</v>
      </c>
      <c r="F1616" s="539">
        <v>2093</v>
      </c>
    </row>
    <row r="1617" spans="1:6" ht="17.100000000000001" customHeight="1">
      <c r="A1617" s="530"/>
      <c r="B1617" s="1268"/>
      <c r="C1617" s="1269"/>
      <c r="D1617" s="537" t="s">
        <v>615</v>
      </c>
      <c r="E1617" s="538" t="s">
        <v>616</v>
      </c>
      <c r="F1617" s="539">
        <v>5500</v>
      </c>
    </row>
    <row r="1618" spans="1:6" ht="17.100000000000001" customHeight="1">
      <c r="A1618" s="530"/>
      <c r="B1618" s="1268"/>
      <c r="C1618" s="1269"/>
      <c r="D1618" s="537" t="s">
        <v>617</v>
      </c>
      <c r="E1618" s="538" t="s">
        <v>618</v>
      </c>
      <c r="F1618" s="539">
        <v>17867</v>
      </c>
    </row>
    <row r="1619" spans="1:6" ht="17.100000000000001" customHeight="1">
      <c r="A1619" s="530"/>
      <c r="B1619" s="1268"/>
      <c r="C1619" s="1269"/>
      <c r="D1619" s="537" t="s">
        <v>619</v>
      </c>
      <c r="E1619" s="538" t="s">
        <v>620</v>
      </c>
      <c r="F1619" s="539">
        <v>1000</v>
      </c>
    </row>
    <row r="1620" spans="1:6" ht="17.100000000000001" customHeight="1">
      <c r="A1620" s="530"/>
      <c r="B1620" s="1268"/>
      <c r="C1620" s="1269"/>
      <c r="D1620" s="537" t="s">
        <v>627</v>
      </c>
      <c r="E1620" s="538" t="s">
        <v>628</v>
      </c>
      <c r="F1620" s="539">
        <v>1000</v>
      </c>
    </row>
    <row r="1621" spans="1:6" ht="17.100000000000001" customHeight="1">
      <c r="A1621" s="530"/>
      <c r="B1621" s="540"/>
      <c r="C1621" s="541"/>
      <c r="D1621" s="1268"/>
      <c r="E1621" s="1270"/>
      <c r="F1621" s="1271"/>
    </row>
    <row r="1622" spans="1:6" ht="17.100000000000001" customHeight="1">
      <c r="A1622" s="530"/>
      <c r="B1622" s="540"/>
      <c r="C1622" s="541"/>
      <c r="D1622" s="1293" t="s">
        <v>629</v>
      </c>
      <c r="E1622" s="1294"/>
      <c r="F1622" s="539">
        <f>F1623</f>
        <v>46160</v>
      </c>
    </row>
    <row r="1623" spans="1:6">
      <c r="A1623" s="530"/>
      <c r="B1623" s="540"/>
      <c r="C1623" s="541"/>
      <c r="D1623" s="537" t="s">
        <v>630</v>
      </c>
      <c r="E1623" s="538" t="s">
        <v>631</v>
      </c>
      <c r="F1623" s="539">
        <v>46160</v>
      </c>
    </row>
    <row r="1624" spans="1:6" ht="17.100000000000001" customHeight="1">
      <c r="A1624" s="530"/>
      <c r="B1624" s="1295" t="s">
        <v>946</v>
      </c>
      <c r="C1624" s="1296"/>
      <c r="D1624" s="542"/>
      <c r="E1624" s="543" t="s">
        <v>238</v>
      </c>
      <c r="F1624" s="544">
        <f>F1625</f>
        <v>11000</v>
      </c>
    </row>
    <row r="1625" spans="1:6" ht="17.100000000000001" customHeight="1">
      <c r="A1625" s="530"/>
      <c r="B1625" s="540"/>
      <c r="C1625" s="541"/>
      <c r="D1625" s="1285" t="s">
        <v>583</v>
      </c>
      <c r="E1625" s="1286"/>
      <c r="F1625" s="534">
        <f>F1626</f>
        <v>11000</v>
      </c>
    </row>
    <row r="1626" spans="1:6" ht="17.100000000000001" customHeight="1">
      <c r="A1626" s="530"/>
      <c r="B1626" s="540"/>
      <c r="C1626" s="541"/>
      <c r="D1626" s="1287" t="s">
        <v>584</v>
      </c>
      <c r="E1626" s="1291"/>
      <c r="F1626" s="539">
        <f>F1627</f>
        <v>11000</v>
      </c>
    </row>
    <row r="1627" spans="1:6" ht="17.100000000000001" customHeight="1">
      <c r="A1627" s="530"/>
      <c r="B1627" s="540"/>
      <c r="C1627" s="541"/>
      <c r="D1627" s="1266" t="s">
        <v>595</v>
      </c>
      <c r="E1627" s="1267"/>
      <c r="F1627" s="539">
        <f>SUM(F1628:F1628)</f>
        <v>11000</v>
      </c>
    </row>
    <row r="1628" spans="1:6" ht="17.100000000000001" customHeight="1" thickBot="1">
      <c r="A1628" s="530"/>
      <c r="B1628" s="540"/>
      <c r="C1628" s="541"/>
      <c r="D1628" s="551" t="s">
        <v>406</v>
      </c>
      <c r="E1628" s="552" t="s">
        <v>608</v>
      </c>
      <c r="F1628" s="553">
        <v>11000</v>
      </c>
    </row>
    <row r="1629" spans="1:6" ht="17.100000000000001" customHeight="1" thickBot="1">
      <c r="A1629" s="526" t="s">
        <v>149</v>
      </c>
      <c r="B1629" s="1277"/>
      <c r="C1629" s="1278"/>
      <c r="D1629" s="527"/>
      <c r="E1629" s="528" t="s">
        <v>947</v>
      </c>
      <c r="F1629" s="529">
        <f>F1630</f>
        <v>2700322</v>
      </c>
    </row>
    <row r="1630" spans="1:6" ht="17.100000000000001" customHeight="1">
      <c r="A1630" s="1489"/>
      <c r="B1630" s="1490" t="s">
        <v>150</v>
      </c>
      <c r="C1630" s="1407"/>
      <c r="D1630" s="704"/>
      <c r="E1630" s="705" t="s">
        <v>948</v>
      </c>
      <c r="F1630" s="533">
        <f>F1631</f>
        <v>2700322</v>
      </c>
    </row>
    <row r="1631" spans="1:6" ht="17.100000000000001" customHeight="1">
      <c r="A1631" s="1489"/>
      <c r="B1631" s="1491"/>
      <c r="C1631" s="1492"/>
      <c r="D1631" s="1494" t="s">
        <v>583</v>
      </c>
      <c r="E1631" s="1372"/>
      <c r="F1631" s="534">
        <f>F1632+F1641+F1645</f>
        <v>2700322</v>
      </c>
    </row>
    <row r="1632" spans="1:6" ht="17.100000000000001" customHeight="1">
      <c r="A1632" s="1489"/>
      <c r="B1632" s="1270"/>
      <c r="C1632" s="1493"/>
      <c r="D1632" s="1495" t="s">
        <v>584</v>
      </c>
      <c r="E1632" s="1460"/>
      <c r="F1632" s="539">
        <f>F1633+F1637</f>
        <v>31350</v>
      </c>
    </row>
    <row r="1633" spans="1:6" ht="17.100000000000001" customHeight="1">
      <c r="A1633" s="1489"/>
      <c r="B1633" s="1270"/>
      <c r="C1633" s="1493"/>
      <c r="D1633" s="1496" t="s">
        <v>585</v>
      </c>
      <c r="E1633" s="1475"/>
      <c r="F1633" s="539">
        <f>SUM(F1634:F1635)</f>
        <v>8350</v>
      </c>
    </row>
    <row r="1634" spans="1:6" ht="17.100000000000001" customHeight="1">
      <c r="A1634" s="1489"/>
      <c r="B1634" s="1270"/>
      <c r="C1634" s="1493"/>
      <c r="D1634" s="626" t="s">
        <v>589</v>
      </c>
      <c r="E1634" s="538" t="s">
        <v>590</v>
      </c>
      <c r="F1634" s="539">
        <v>7500</v>
      </c>
    </row>
    <row r="1635" spans="1:6" ht="17.100000000000001" customHeight="1">
      <c r="A1635" s="1489"/>
      <c r="B1635" s="1270"/>
      <c r="C1635" s="1493"/>
      <c r="D1635" s="626" t="s">
        <v>591</v>
      </c>
      <c r="E1635" s="538" t="s">
        <v>592</v>
      </c>
      <c r="F1635" s="539">
        <v>850</v>
      </c>
    </row>
    <row r="1636" spans="1:6" ht="17.100000000000001" customHeight="1">
      <c r="A1636" s="1489"/>
      <c r="B1636" s="1270"/>
      <c r="C1636" s="1493"/>
      <c r="D1636" s="1390"/>
      <c r="E1636" s="1270"/>
      <c r="F1636" s="1271"/>
    </row>
    <row r="1637" spans="1:6" ht="17.100000000000001" customHeight="1">
      <c r="A1637" s="1489"/>
      <c r="B1637" s="1270"/>
      <c r="C1637" s="1493"/>
      <c r="D1637" s="1370" t="s">
        <v>595</v>
      </c>
      <c r="E1637" s="1267"/>
      <c r="F1637" s="539">
        <f>SUM(F1638:F1639)</f>
        <v>23000</v>
      </c>
    </row>
    <row r="1638" spans="1:6" ht="17.100000000000001" customHeight="1">
      <c r="A1638" s="1489"/>
      <c r="B1638" s="1270"/>
      <c r="C1638" s="1493"/>
      <c r="D1638" s="626" t="s">
        <v>598</v>
      </c>
      <c r="E1638" s="538" t="s">
        <v>599</v>
      </c>
      <c r="F1638" s="539">
        <v>20000</v>
      </c>
    </row>
    <row r="1639" spans="1:6" ht="17.100000000000001" customHeight="1">
      <c r="A1639" s="1489"/>
      <c r="B1639" s="1270"/>
      <c r="C1639" s="1493"/>
      <c r="D1639" s="669" t="s">
        <v>406</v>
      </c>
      <c r="E1639" s="552" t="s">
        <v>608</v>
      </c>
      <c r="F1639" s="553">
        <v>3000</v>
      </c>
    </row>
    <row r="1640" spans="1:6" ht="17.100000000000001" customHeight="1">
      <c r="A1640" s="1489"/>
      <c r="B1640" s="1270"/>
      <c r="C1640" s="1493"/>
      <c r="D1640" s="1365"/>
      <c r="E1640" s="1366"/>
      <c r="F1640" s="1367"/>
    </row>
    <row r="1641" spans="1:6" ht="17.100000000000001" customHeight="1">
      <c r="A1641" s="1489"/>
      <c r="B1641" s="1270"/>
      <c r="C1641" s="1493"/>
      <c r="D1641" s="1472" t="s">
        <v>949</v>
      </c>
      <c r="E1641" s="1487"/>
      <c r="F1641" s="539">
        <f>SUM(F1642:F1643)</f>
        <v>2203972</v>
      </c>
    </row>
    <row r="1642" spans="1:6" ht="45" customHeight="1">
      <c r="A1642" s="1489"/>
      <c r="B1642" s="1270"/>
      <c r="C1642" s="1493"/>
      <c r="D1642" s="626" t="s">
        <v>665</v>
      </c>
      <c r="E1642" s="538" t="s">
        <v>666</v>
      </c>
      <c r="F1642" s="539">
        <v>160000</v>
      </c>
    </row>
    <row r="1643" spans="1:6" ht="25.5">
      <c r="A1643" s="1489"/>
      <c r="B1643" s="1270"/>
      <c r="C1643" s="1493"/>
      <c r="D1643" s="669" t="s">
        <v>950</v>
      </c>
      <c r="E1643" s="552" t="s">
        <v>951</v>
      </c>
      <c r="F1643" s="553">
        <v>2043972</v>
      </c>
    </row>
    <row r="1644" spans="1:6" ht="17.100000000000001" customHeight="1">
      <c r="A1644" s="1489"/>
      <c r="B1644" s="1270"/>
      <c r="C1644" s="1493"/>
      <c r="D1644" s="1365"/>
      <c r="E1644" s="1366"/>
      <c r="F1644" s="1367"/>
    </row>
    <row r="1645" spans="1:6" ht="17.100000000000001" customHeight="1">
      <c r="A1645" s="1489"/>
      <c r="B1645" s="1270"/>
      <c r="C1645" s="1493"/>
      <c r="D1645" s="1470" t="s">
        <v>629</v>
      </c>
      <c r="E1645" s="1488"/>
      <c r="F1645" s="539">
        <f>SUM(F1646:F1647)</f>
        <v>465000</v>
      </c>
    </row>
    <row r="1646" spans="1:6" ht="17.100000000000001" customHeight="1">
      <c r="A1646" s="1489"/>
      <c r="B1646" s="1270"/>
      <c r="C1646" s="1493"/>
      <c r="D1646" s="626" t="s">
        <v>841</v>
      </c>
      <c r="E1646" s="538" t="s">
        <v>842</v>
      </c>
      <c r="F1646" s="539">
        <v>65000</v>
      </c>
    </row>
    <row r="1647" spans="1:6" ht="17.100000000000001" customHeight="1" thickBot="1">
      <c r="A1647" s="1489"/>
      <c r="B1647" s="1270"/>
      <c r="C1647" s="1493"/>
      <c r="D1647" s="669" t="s">
        <v>847</v>
      </c>
      <c r="E1647" s="552" t="s">
        <v>848</v>
      </c>
      <c r="F1647" s="553">
        <v>400000</v>
      </c>
    </row>
    <row r="1648" spans="1:6" ht="17.100000000000001" customHeight="1" thickBot="1">
      <c r="A1648" s="1516" t="s">
        <v>952</v>
      </c>
      <c r="B1648" s="1405"/>
      <c r="C1648" s="1405"/>
      <c r="D1648" s="1405"/>
      <c r="E1648" s="1405"/>
      <c r="F1648" s="529">
        <f>F6+F177+F206+F240+F253+F358+F372+F385+F452+F480+F509+F760+F766+F787+F796+F806+F1046+F1061+F1142+F1211+F1324+F1372+F1476+F1514+F1596+F1629</f>
        <v>1319434038</v>
      </c>
    </row>
    <row r="1649" spans="1:8" ht="12.75" customHeight="1" thickBot="1">
      <c r="A1649" s="1517"/>
      <c r="B1649" s="1518"/>
      <c r="C1649" s="1518"/>
      <c r="D1649" s="1518"/>
      <c r="E1649" s="1518"/>
      <c r="F1649" s="1519"/>
    </row>
    <row r="1650" spans="1:8" ht="17.100000000000001" customHeight="1" thickBot="1">
      <c r="A1650" s="1520" t="s">
        <v>2</v>
      </c>
      <c r="B1650" s="1521"/>
      <c r="C1650" s="1521"/>
      <c r="D1650" s="1521"/>
      <c r="E1650" s="1521"/>
      <c r="F1650" s="706"/>
    </row>
    <row r="1651" spans="1:8" ht="24" customHeight="1" thickBot="1">
      <c r="A1651" s="1522" t="s">
        <v>953</v>
      </c>
      <c r="B1651" s="1523"/>
      <c r="C1651" s="1523"/>
      <c r="D1651" s="1523"/>
      <c r="E1651" s="1523"/>
      <c r="F1651" s="707">
        <f>F1652+F1655+F1656+F1657+F1658+F1659</f>
        <v>586135760</v>
      </c>
      <c r="G1651" s="564"/>
    </row>
    <row r="1652" spans="1:8" ht="17.100000000000001" customHeight="1">
      <c r="A1652" s="1500" t="s">
        <v>954</v>
      </c>
      <c r="B1652" s="1501"/>
      <c r="C1652" s="1501"/>
      <c r="D1652" s="1501"/>
      <c r="E1652" s="1502"/>
      <c r="F1652" s="708">
        <f>F1653+F1654</f>
        <v>260846655</v>
      </c>
      <c r="G1652" s="564"/>
    </row>
    <row r="1653" spans="1:8" ht="19.5" customHeight="1">
      <c r="A1653" s="1524" t="s">
        <v>955</v>
      </c>
      <c r="B1653" s="1504"/>
      <c r="C1653" s="1504"/>
      <c r="D1653" s="1504"/>
      <c r="E1653" s="1505"/>
      <c r="F1653" s="556">
        <f>F10+F41+F77+F244+F296+F389+F419+F513+F525+F538+F629+F640+F692+F706+F810+F834+F851+F868+F932+F979+F1013+F1128+F1150+F1221+F1328+F1376+F1402+F1443+F1488+F1578+F1600+F1633</f>
        <v>133880167</v>
      </c>
    </row>
    <row r="1654" spans="1:8" ht="18.75" customHeight="1">
      <c r="A1654" s="1503" t="s">
        <v>956</v>
      </c>
      <c r="B1654" s="1504"/>
      <c r="C1654" s="1504"/>
      <c r="D1654" s="1504"/>
      <c r="E1654" s="1505"/>
      <c r="F1654" s="556">
        <f>F17+F48+F83+F142+F169+F250+F257+F282+F291+F303+F356+F362+F370+F376+F396+F426+F446+F456+F519+F528+F545+F634+F643+F698+F710+F764+F800+F817+F840+F857+F875+F939+F986+F1019+F1050+F1059+F1093+F1105+F1114+F1123+F1131+F1157+F1228+F1334+F1382+F1408+F1433+F1449+F1470+F1480+F1493+F1499+F1504+F1510+F1583+F1607+F1627+F1637</f>
        <v>126966488</v>
      </c>
    </row>
    <row r="1655" spans="1:8" ht="17.100000000000001" customHeight="1">
      <c r="A1655" s="1506" t="s">
        <v>957</v>
      </c>
      <c r="B1655" s="1507"/>
      <c r="C1655" s="1507"/>
      <c r="D1655" s="1507"/>
      <c r="E1655" s="1508"/>
      <c r="F1655" s="556">
        <f>F108+F146+F175+F209+F261+F286+F365+F650+F785+F1024+F1064+F1076+F1096+F1109+F1118+F1135+F1145+F1176+F1191+F1214+F1301+F1425+F1438+F1474+F1483+F1517+F1525+F1530+F1535+F1544+F1549+F1558+F1563+F1573+F1641</f>
        <v>212136010</v>
      </c>
      <c r="G1655" s="564"/>
    </row>
    <row r="1656" spans="1:8" ht="17.100000000000001" customHeight="1">
      <c r="A1656" s="1506" t="s">
        <v>958</v>
      </c>
      <c r="B1656" s="1507"/>
      <c r="C1656" s="1507"/>
      <c r="D1656" s="1507"/>
      <c r="E1656" s="1508"/>
      <c r="F1656" s="556">
        <f>F37+F69+F98+F325+F415+F442+F534+F566+F725+F830+F847+F864+F894+F953+F1004+F1029+F1030+F1031+F1055+F1180+F1248+F1249+F1344+F1398+F1429+F1466+F1521+F1522+F1623+F1646+F1647</f>
        <v>2770715</v>
      </c>
      <c r="G1656" s="564"/>
    </row>
    <row r="1657" spans="1:8" ht="15.75" customHeight="1">
      <c r="A1657" s="1512" t="s">
        <v>959</v>
      </c>
      <c r="B1657" s="1507"/>
      <c r="C1657" s="1507"/>
      <c r="D1657" s="1507"/>
      <c r="E1657" s="1508"/>
      <c r="F1657" s="556">
        <f>F112+F180+F212+F264+F465+F483+F568+F653+F727+F897+F955+F1006+F1033+F1195+F1251+F1305+F1347</f>
        <v>90779618</v>
      </c>
    </row>
    <row r="1658" spans="1:8" ht="17.100000000000001" customHeight="1">
      <c r="A1658" s="1506" t="s">
        <v>960</v>
      </c>
      <c r="B1658" s="1507"/>
      <c r="C1658" s="1507"/>
      <c r="D1658" s="1507"/>
      <c r="E1658" s="1508"/>
      <c r="F1658" s="556">
        <f>F795</f>
        <v>10066762</v>
      </c>
      <c r="G1658" s="564"/>
    </row>
    <row r="1659" spans="1:8" ht="17.100000000000001" customHeight="1" thickBot="1">
      <c r="A1659" s="1513" t="s">
        <v>961</v>
      </c>
      <c r="B1659" s="1514"/>
      <c r="C1659" s="1514"/>
      <c r="D1659" s="1514"/>
      <c r="E1659" s="1515"/>
      <c r="F1659" s="709">
        <f>F791</f>
        <v>9536000</v>
      </c>
    </row>
    <row r="1660" spans="1:8" ht="21.75" customHeight="1" thickBot="1">
      <c r="A1660" s="1497" t="s">
        <v>962</v>
      </c>
      <c r="B1660" s="1498"/>
      <c r="C1660" s="1498"/>
      <c r="D1660" s="1498"/>
      <c r="E1660" s="1499"/>
      <c r="F1660" s="707">
        <f>F1661+F1663+F1664</f>
        <v>733298278</v>
      </c>
      <c r="G1660" s="564"/>
      <c r="H1660" s="564">
        <f>F1651+F1660</f>
        <v>1319434038</v>
      </c>
    </row>
    <row r="1661" spans="1:8" ht="17.100000000000001" customHeight="1">
      <c r="A1661" s="1500" t="s">
        <v>963</v>
      </c>
      <c r="B1661" s="1501"/>
      <c r="C1661" s="1501"/>
      <c r="D1661" s="1501"/>
      <c r="E1661" s="1502"/>
      <c r="F1661" s="708">
        <f>F71+F100+F150+F156+F228+F269+F327+F346+F350+F449+F468+F609+F682+F768+F776+F780+F803+F921+F1043+F1067+F1079+F1083+F1087+F1099+F1139+F1285+F1539+F1553+F1568+F1587</f>
        <v>724668278</v>
      </c>
    </row>
    <row r="1662" spans="1:8" ht="18" customHeight="1">
      <c r="A1662" s="1503" t="s">
        <v>964</v>
      </c>
      <c r="B1662" s="1504"/>
      <c r="C1662" s="1504"/>
      <c r="D1662" s="1504"/>
      <c r="E1662" s="1505"/>
      <c r="F1662" s="556">
        <f>F104+F163+F238+F275+F337+F476+F620+F687+F926+F1293+F1593</f>
        <v>596791666</v>
      </c>
      <c r="G1662" s="710"/>
    </row>
    <row r="1663" spans="1:8" ht="17.100000000000001" customHeight="1">
      <c r="A1663" s="1506" t="s">
        <v>965</v>
      </c>
      <c r="B1663" s="1507"/>
      <c r="C1663" s="1507"/>
      <c r="D1663" s="1507"/>
      <c r="E1663" s="1508"/>
      <c r="F1663" s="556">
        <f>F1072</f>
        <v>8630000</v>
      </c>
    </row>
    <row r="1664" spans="1:8" ht="17.100000000000001" customHeight="1" thickBot="1">
      <c r="A1664" s="1509" t="s">
        <v>966</v>
      </c>
      <c r="B1664" s="1510"/>
      <c r="C1664" s="1510"/>
      <c r="D1664" s="1510"/>
      <c r="E1664" s="1511"/>
      <c r="F1664" s="711">
        <v>0</v>
      </c>
    </row>
    <row r="1665" spans="1:8" ht="17.100000000000001" customHeight="1">
      <c r="A1665" s="712"/>
      <c r="B1665" s="712"/>
      <c r="C1665" s="712"/>
      <c r="D1665" s="712"/>
      <c r="E1665" s="712"/>
      <c r="F1665" s="713"/>
      <c r="H1665" s="564"/>
    </row>
    <row r="1666" spans="1:8" ht="17.100000000000001" customHeight="1">
      <c r="A1666" s="712"/>
      <c r="B1666" s="712"/>
      <c r="C1666" s="712"/>
      <c r="D1666" s="712"/>
      <c r="E1666" s="712"/>
      <c r="F1666" s="712"/>
      <c r="G1666" s="564"/>
    </row>
    <row r="1667" spans="1:8" ht="17.100000000000001" customHeight="1">
      <c r="A1667" s="712"/>
      <c r="B1667" s="712"/>
      <c r="C1667" s="712"/>
      <c r="D1667" s="712"/>
      <c r="E1667" s="712"/>
      <c r="F1667" s="712"/>
    </row>
    <row r="1668" spans="1:8" ht="17.100000000000001" customHeight="1">
      <c r="A1668" s="712"/>
      <c r="B1668" s="712"/>
      <c r="C1668" s="712"/>
      <c r="D1668" s="712"/>
      <c r="E1668" s="712"/>
      <c r="F1668" s="712"/>
    </row>
    <row r="1669" spans="1:8" ht="17.100000000000001" customHeight="1">
      <c r="A1669" s="712"/>
      <c r="B1669" s="712"/>
      <c r="C1669" s="712"/>
      <c r="D1669" s="712"/>
      <c r="E1669" s="712"/>
      <c r="F1669" s="712"/>
    </row>
    <row r="1670" spans="1:8" ht="17.100000000000001" customHeight="1">
      <c r="A1670" s="712"/>
      <c r="B1670" s="712"/>
      <c r="C1670" s="712"/>
      <c r="D1670" s="712"/>
      <c r="E1670" s="712"/>
      <c r="F1670" s="712"/>
    </row>
    <row r="1671" spans="1:8" ht="17.100000000000001" customHeight="1">
      <c r="A1671" s="712"/>
      <c r="B1671" s="712"/>
      <c r="C1671" s="712"/>
      <c r="D1671" s="712"/>
      <c r="E1671" s="712"/>
      <c r="F1671" s="712"/>
    </row>
    <row r="1672" spans="1:8">
      <c r="A1672" s="712"/>
      <c r="B1672" s="712"/>
      <c r="C1672" s="712"/>
      <c r="D1672" s="712"/>
      <c r="E1672" s="712"/>
      <c r="F1672" s="712"/>
    </row>
    <row r="1673" spans="1:8">
      <c r="A1673" s="712"/>
      <c r="B1673" s="712"/>
      <c r="C1673" s="712"/>
      <c r="D1673" s="712"/>
      <c r="E1673" s="712"/>
      <c r="F1673" s="712"/>
    </row>
    <row r="1674" spans="1:8">
      <c r="D1674" s="564"/>
    </row>
    <row r="1676" spans="1:8">
      <c r="D1676" s="564"/>
    </row>
    <row r="1678" spans="1:8">
      <c r="D1678" s="564"/>
    </row>
    <row r="1680" spans="1:8">
      <c r="D1680" s="564"/>
    </row>
    <row r="1682" spans="4:4">
      <c r="D1682" s="564"/>
    </row>
    <row r="1684" spans="4:4">
      <c r="D1684" s="564"/>
    </row>
    <row r="1686" spans="4:4">
      <c r="D1686" s="564"/>
    </row>
    <row r="1688" spans="4:4">
      <c r="D1688" s="564"/>
    </row>
    <row r="1690" spans="4:4">
      <c r="D1690" s="564"/>
    </row>
  </sheetData>
  <mergeCells count="1095">
    <mergeCell ref="A1660:E1660"/>
    <mergeCell ref="A1661:E1661"/>
    <mergeCell ref="A1662:E1662"/>
    <mergeCell ref="A1663:E1663"/>
    <mergeCell ref="A1664:E1664"/>
    <mergeCell ref="A1654:E1654"/>
    <mergeCell ref="A1655:E1655"/>
    <mergeCell ref="A1656:E1656"/>
    <mergeCell ref="A1657:E1657"/>
    <mergeCell ref="A1658:E1658"/>
    <mergeCell ref="A1659:E1659"/>
    <mergeCell ref="A1648:E1648"/>
    <mergeCell ref="A1649:F1649"/>
    <mergeCell ref="A1650:E1650"/>
    <mergeCell ref="A1651:E1651"/>
    <mergeCell ref="A1652:E1652"/>
    <mergeCell ref="A1653:E1653"/>
    <mergeCell ref="D1636:F1636"/>
    <mergeCell ref="D1637:E1637"/>
    <mergeCell ref="D1640:F1640"/>
    <mergeCell ref="D1641:E1641"/>
    <mergeCell ref="D1644:F1644"/>
    <mergeCell ref="D1645:E1645"/>
    <mergeCell ref="D1625:E1625"/>
    <mergeCell ref="D1626:E1626"/>
    <mergeCell ref="D1627:E1627"/>
    <mergeCell ref="B1629:C1629"/>
    <mergeCell ref="A1630:A1647"/>
    <mergeCell ref="B1630:C1630"/>
    <mergeCell ref="B1631:C1647"/>
    <mergeCell ref="D1631:E1631"/>
    <mergeCell ref="D1632:E1632"/>
    <mergeCell ref="D1633:E1633"/>
    <mergeCell ref="B1618:C1618"/>
    <mergeCell ref="B1619:C1619"/>
    <mergeCell ref="B1620:C1620"/>
    <mergeCell ref="D1621:F1621"/>
    <mergeCell ref="D1622:E1622"/>
    <mergeCell ref="B1624:C1624"/>
    <mergeCell ref="B1612:C1612"/>
    <mergeCell ref="B1613:C1613"/>
    <mergeCell ref="B1614:C1614"/>
    <mergeCell ref="B1615:C1615"/>
    <mergeCell ref="B1616:C1616"/>
    <mergeCell ref="B1617:C1617"/>
    <mergeCell ref="B1605:C1605"/>
    <mergeCell ref="D1606:F1606"/>
    <mergeCell ref="D1607:E1607"/>
    <mergeCell ref="B1609:C1609"/>
    <mergeCell ref="B1610:C1610"/>
    <mergeCell ref="B1611:C1611"/>
    <mergeCell ref="D1599:E1599"/>
    <mergeCell ref="D1600:E1600"/>
    <mergeCell ref="B1601:C1601"/>
    <mergeCell ref="B1602:C1602"/>
    <mergeCell ref="B1603:C1603"/>
    <mergeCell ref="B1604:C1604"/>
    <mergeCell ref="D1587:E1587"/>
    <mergeCell ref="D1588:E1588"/>
    <mergeCell ref="D1593:E1593"/>
    <mergeCell ref="B1596:C1596"/>
    <mergeCell ref="B1597:C1597"/>
    <mergeCell ref="D1598:E1598"/>
    <mergeCell ref="B1574:C1574"/>
    <mergeCell ref="B1575:C1575"/>
    <mergeCell ref="B1576:C1585"/>
    <mergeCell ref="D1576:E1576"/>
    <mergeCell ref="D1577:E1577"/>
    <mergeCell ref="D1578:E1578"/>
    <mergeCell ref="D1583:E1583"/>
    <mergeCell ref="D1569:E1569"/>
    <mergeCell ref="B1570:C1570"/>
    <mergeCell ref="B1571:C1571"/>
    <mergeCell ref="B1572:C1573"/>
    <mergeCell ref="D1572:E1572"/>
    <mergeCell ref="D1573:E1573"/>
    <mergeCell ref="B1562:C1564"/>
    <mergeCell ref="D1562:E1562"/>
    <mergeCell ref="D1563:E1563"/>
    <mergeCell ref="B1566:C1566"/>
    <mergeCell ref="D1567:F1567"/>
    <mergeCell ref="D1568:E1568"/>
    <mergeCell ref="D1554:E1554"/>
    <mergeCell ref="B1556:C1556"/>
    <mergeCell ref="B1557:C1560"/>
    <mergeCell ref="D1557:E1557"/>
    <mergeCell ref="D1558:E1558"/>
    <mergeCell ref="B1561:C1561"/>
    <mergeCell ref="B1542:C1542"/>
    <mergeCell ref="B1543:C1546"/>
    <mergeCell ref="D1543:E1543"/>
    <mergeCell ref="D1544:E1544"/>
    <mergeCell ref="B1547:C1547"/>
    <mergeCell ref="B1548:C1555"/>
    <mergeCell ref="D1548:E1548"/>
    <mergeCell ref="D1549:E1549"/>
    <mergeCell ref="D1552:F1552"/>
    <mergeCell ref="D1553:E1553"/>
    <mergeCell ref="B1532:C1532"/>
    <mergeCell ref="B1533:C1533"/>
    <mergeCell ref="B1534:C1541"/>
    <mergeCell ref="D1534:E1534"/>
    <mergeCell ref="D1535:E1535"/>
    <mergeCell ref="D1538:F1538"/>
    <mergeCell ref="D1539:E1539"/>
    <mergeCell ref="D1540:E1540"/>
    <mergeCell ref="B1523:C1523"/>
    <mergeCell ref="B1524:C1527"/>
    <mergeCell ref="D1524:E1524"/>
    <mergeCell ref="D1525:E1525"/>
    <mergeCell ref="B1528:C1528"/>
    <mergeCell ref="B1529:C1531"/>
    <mergeCell ref="D1529:E1529"/>
    <mergeCell ref="D1530:E1530"/>
    <mergeCell ref="B1514:C1514"/>
    <mergeCell ref="B1515:C1515"/>
    <mergeCell ref="B1516:C1522"/>
    <mergeCell ref="D1516:E1516"/>
    <mergeCell ref="D1517:E1517"/>
    <mergeCell ref="D1519:F1519"/>
    <mergeCell ref="D1520:E1520"/>
    <mergeCell ref="B1502:C1506"/>
    <mergeCell ref="D1502:E1502"/>
    <mergeCell ref="D1503:E1503"/>
    <mergeCell ref="D1504:E1504"/>
    <mergeCell ref="B1507:C1507"/>
    <mergeCell ref="B1508:C1513"/>
    <mergeCell ref="D1508:E1508"/>
    <mergeCell ref="D1509:E1509"/>
    <mergeCell ref="D1510:E1510"/>
    <mergeCell ref="B1496:C1496"/>
    <mergeCell ref="B1497:C1500"/>
    <mergeCell ref="D1497:E1497"/>
    <mergeCell ref="D1498:E1498"/>
    <mergeCell ref="D1499:E1499"/>
    <mergeCell ref="B1501:C1501"/>
    <mergeCell ref="D1483:E1483"/>
    <mergeCell ref="B1485:C1485"/>
    <mergeCell ref="B1486:C1495"/>
    <mergeCell ref="D1486:E1486"/>
    <mergeCell ref="D1487:E1487"/>
    <mergeCell ref="D1488:E1488"/>
    <mergeCell ref="D1493:E1493"/>
    <mergeCell ref="B1476:C1476"/>
    <mergeCell ref="B1477:C1477"/>
    <mergeCell ref="B1478:C1481"/>
    <mergeCell ref="D1478:E1478"/>
    <mergeCell ref="D1479:E1479"/>
    <mergeCell ref="D1480:E1480"/>
    <mergeCell ref="B1457:C1466"/>
    <mergeCell ref="D1464:F1464"/>
    <mergeCell ref="D1465:E1465"/>
    <mergeCell ref="B1467:C1467"/>
    <mergeCell ref="B1468:C1475"/>
    <mergeCell ref="D1468:E1468"/>
    <mergeCell ref="D1469:E1469"/>
    <mergeCell ref="D1470:E1470"/>
    <mergeCell ref="D1474:E1474"/>
    <mergeCell ref="D1448:F1448"/>
    <mergeCell ref="D1449:E1449"/>
    <mergeCell ref="B1451:C1451"/>
    <mergeCell ref="B1453:C1453"/>
    <mergeCell ref="B1455:C1455"/>
    <mergeCell ref="B1456:C1456"/>
    <mergeCell ref="D1442:E1442"/>
    <mergeCell ref="D1443:E1443"/>
    <mergeCell ref="B1444:C1444"/>
    <mergeCell ref="B1445:C1445"/>
    <mergeCell ref="B1446:C1446"/>
    <mergeCell ref="B1447:C1447"/>
    <mergeCell ref="B1436:C1436"/>
    <mergeCell ref="D1437:E1437"/>
    <mergeCell ref="D1438:E1438"/>
    <mergeCell ref="B1439:C1439"/>
    <mergeCell ref="B1440:C1440"/>
    <mergeCell ref="D1441:E1441"/>
    <mergeCell ref="B1430:C1430"/>
    <mergeCell ref="D1431:E1431"/>
    <mergeCell ref="D1432:E1432"/>
    <mergeCell ref="D1433:E1433"/>
    <mergeCell ref="B1434:C1434"/>
    <mergeCell ref="B1435:C1435"/>
    <mergeCell ref="B1413:C1413"/>
    <mergeCell ref="B1414:C1414"/>
    <mergeCell ref="B1415:C1429"/>
    <mergeCell ref="D1424:F1424"/>
    <mergeCell ref="D1425:E1425"/>
    <mergeCell ref="D1428:E1428"/>
    <mergeCell ref="B1405:C1405"/>
    <mergeCell ref="B1406:C1406"/>
    <mergeCell ref="D1407:F1407"/>
    <mergeCell ref="D1408:E1408"/>
    <mergeCell ref="B1410:C1410"/>
    <mergeCell ref="B1411:C1411"/>
    <mergeCell ref="B1399:C1399"/>
    <mergeCell ref="D1400:E1400"/>
    <mergeCell ref="D1401:E1401"/>
    <mergeCell ref="D1402:E1402"/>
    <mergeCell ref="B1403:C1403"/>
    <mergeCell ref="B1404:C1404"/>
    <mergeCell ref="B1384:C1384"/>
    <mergeCell ref="B1385:C1385"/>
    <mergeCell ref="B1387:C1387"/>
    <mergeCell ref="B1388:C1388"/>
    <mergeCell ref="B1389:C1398"/>
    <mergeCell ref="D1396:F1396"/>
    <mergeCell ref="D1397:E1397"/>
    <mergeCell ref="B1377:C1377"/>
    <mergeCell ref="B1378:C1378"/>
    <mergeCell ref="B1379:C1379"/>
    <mergeCell ref="B1380:C1380"/>
    <mergeCell ref="D1381:F1381"/>
    <mergeCell ref="D1382:E1382"/>
    <mergeCell ref="B1371:C1371"/>
    <mergeCell ref="B1372:C1372"/>
    <mergeCell ref="B1373:C1373"/>
    <mergeCell ref="D1374:E1374"/>
    <mergeCell ref="D1375:E1375"/>
    <mergeCell ref="D1376:E1376"/>
    <mergeCell ref="B1358:C1358"/>
    <mergeCell ref="B1359:C1359"/>
    <mergeCell ref="B1360:C1360"/>
    <mergeCell ref="B1361:C1361"/>
    <mergeCell ref="B1363:C1363"/>
    <mergeCell ref="B1370:C1370"/>
    <mergeCell ref="B1349:C1349"/>
    <mergeCell ref="B1350:C1350"/>
    <mergeCell ref="B1352:C1352"/>
    <mergeCell ref="B1353:C1353"/>
    <mergeCell ref="B1355:C1355"/>
    <mergeCell ref="B1356:C1356"/>
    <mergeCell ref="B1338:C1338"/>
    <mergeCell ref="B1339:C1344"/>
    <mergeCell ref="D1342:F1342"/>
    <mergeCell ref="D1343:E1343"/>
    <mergeCell ref="B1345:C1345"/>
    <mergeCell ref="B1346:C1348"/>
    <mergeCell ref="D1346:E1346"/>
    <mergeCell ref="D1347:E1347"/>
    <mergeCell ref="B1332:C1332"/>
    <mergeCell ref="D1333:F1333"/>
    <mergeCell ref="D1334:E1334"/>
    <mergeCell ref="B1335:C1335"/>
    <mergeCell ref="B1336:C1336"/>
    <mergeCell ref="B1337:C1337"/>
    <mergeCell ref="D1326:E1326"/>
    <mergeCell ref="D1327:E1327"/>
    <mergeCell ref="D1328:E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2:C1312"/>
    <mergeCell ref="B1313:C1313"/>
    <mergeCell ref="B1314:C1314"/>
    <mergeCell ref="B1315:C1315"/>
    <mergeCell ref="B1316:C1316"/>
    <mergeCell ref="B1317:C1317"/>
    <mergeCell ref="B1306:C1306"/>
    <mergeCell ref="B1307:C1307"/>
    <mergeCell ref="B1308:C1308"/>
    <mergeCell ref="B1309:C1309"/>
    <mergeCell ref="B1310:C1310"/>
    <mergeCell ref="B1311:C1311"/>
    <mergeCell ref="D1286:E1286"/>
    <mergeCell ref="B1287:C1287"/>
    <mergeCell ref="D1292:F1292"/>
    <mergeCell ref="D1293:E1293"/>
    <mergeCell ref="B1299:C1299"/>
    <mergeCell ref="B1300:C1305"/>
    <mergeCell ref="D1300:E1300"/>
    <mergeCell ref="D1301:E1301"/>
    <mergeCell ref="D1304:F1304"/>
    <mergeCell ref="D1305:E1305"/>
    <mergeCell ref="B1278:C1278"/>
    <mergeCell ref="B1279:C1279"/>
    <mergeCell ref="B1282:C1282"/>
    <mergeCell ref="B1283:C1283"/>
    <mergeCell ref="D1284:F1284"/>
    <mergeCell ref="D1285:E1285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28:C1228"/>
    <mergeCell ref="D1228:E1228"/>
    <mergeCell ref="D1246:F1246"/>
    <mergeCell ref="D1247:E1247"/>
    <mergeCell ref="D1250:F1250"/>
    <mergeCell ref="D1251:E1251"/>
    <mergeCell ref="B1217:C1217"/>
    <mergeCell ref="B1218:C1218"/>
    <mergeCell ref="D1219:E1219"/>
    <mergeCell ref="D1220:E1220"/>
    <mergeCell ref="D1221:E1221"/>
    <mergeCell ref="D1227:F1227"/>
    <mergeCell ref="B1211:C1211"/>
    <mergeCell ref="B1212:C1212"/>
    <mergeCell ref="B1213:C1215"/>
    <mergeCell ref="D1213:E1213"/>
    <mergeCell ref="D1214:E1214"/>
    <mergeCell ref="B1216:C1216"/>
    <mergeCell ref="B1189:C1189"/>
    <mergeCell ref="B1190:C1210"/>
    <mergeCell ref="D1190:E1190"/>
    <mergeCell ref="D1191:E1191"/>
    <mergeCell ref="E1194:F1194"/>
    <mergeCell ref="D1195:E1195"/>
    <mergeCell ref="B1181:C1181"/>
    <mergeCell ref="B1182:C1184"/>
    <mergeCell ref="D1182:E1182"/>
    <mergeCell ref="D1183:E1183"/>
    <mergeCell ref="B1185:C1185"/>
    <mergeCell ref="B1186:C1188"/>
    <mergeCell ref="D1186:E1186"/>
    <mergeCell ref="D1187:E1187"/>
    <mergeCell ref="B1171:C1171"/>
    <mergeCell ref="B1174:C1174"/>
    <mergeCell ref="D1175:F1175"/>
    <mergeCell ref="D1176:E1176"/>
    <mergeCell ref="D1178:F1178"/>
    <mergeCell ref="D1179:E1179"/>
    <mergeCell ref="B1164:C1164"/>
    <mergeCell ref="B1165:C1165"/>
    <mergeCell ref="B1167:C1167"/>
    <mergeCell ref="B1168:C1168"/>
    <mergeCell ref="B1169:C1169"/>
    <mergeCell ref="B1170:C1170"/>
    <mergeCell ref="D1156:F1156"/>
    <mergeCell ref="D1157:E1157"/>
    <mergeCell ref="B1160:C1160"/>
    <mergeCell ref="B1161:C1161"/>
    <mergeCell ref="B1162:C1162"/>
    <mergeCell ref="B1163:C1163"/>
    <mergeCell ref="D1149:E1149"/>
    <mergeCell ref="D1150:E1150"/>
    <mergeCell ref="B1151:C1151"/>
    <mergeCell ref="B1152:C1152"/>
    <mergeCell ref="B1153:C1153"/>
    <mergeCell ref="B1154:C1154"/>
    <mergeCell ref="B1143:C1143"/>
    <mergeCell ref="B1144:C1146"/>
    <mergeCell ref="D1144:E1144"/>
    <mergeCell ref="D1145:E1145"/>
    <mergeCell ref="B1147:C1147"/>
    <mergeCell ref="D1148:E1148"/>
    <mergeCell ref="B1132:C1132"/>
    <mergeCell ref="D1135:E1135"/>
    <mergeCell ref="D1138:E1138"/>
    <mergeCell ref="D1139:E1139"/>
    <mergeCell ref="D1140:E1140"/>
    <mergeCell ref="B1142:C1142"/>
    <mergeCell ref="B1125:C1125"/>
    <mergeCell ref="D1126:E1126"/>
    <mergeCell ref="D1127:E1127"/>
    <mergeCell ref="D1128:E1128"/>
    <mergeCell ref="D1130:F1130"/>
    <mergeCell ref="D1131:E1131"/>
    <mergeCell ref="D1114:E1114"/>
    <mergeCell ref="B1115:C1115"/>
    <mergeCell ref="D1117:F1117"/>
    <mergeCell ref="D1118:E1118"/>
    <mergeCell ref="B1120:C1120"/>
    <mergeCell ref="B1121:C1124"/>
    <mergeCell ref="D1121:E1121"/>
    <mergeCell ref="D1122:E1122"/>
    <mergeCell ref="D1123:E1123"/>
    <mergeCell ref="B1108:C1110"/>
    <mergeCell ref="D1108:E1108"/>
    <mergeCell ref="D1109:E1109"/>
    <mergeCell ref="B1111:C1111"/>
    <mergeCell ref="D1112:E1112"/>
    <mergeCell ref="D1113:E1113"/>
    <mergeCell ref="D1100:E1100"/>
    <mergeCell ref="B1102:C1102"/>
    <mergeCell ref="D1103:E1103"/>
    <mergeCell ref="D1104:E1104"/>
    <mergeCell ref="D1105:E1105"/>
    <mergeCell ref="B1107:C1107"/>
    <mergeCell ref="B1093:C1097"/>
    <mergeCell ref="D1093:E1093"/>
    <mergeCell ref="D1095:F1095"/>
    <mergeCell ref="D1096:E1096"/>
    <mergeCell ref="D1098:E1098"/>
    <mergeCell ref="D1099:E1099"/>
    <mergeCell ref="B1087:C1089"/>
    <mergeCell ref="D1087:E1087"/>
    <mergeCell ref="D1088:E1088"/>
    <mergeCell ref="B1090:C1090"/>
    <mergeCell ref="D1091:E1091"/>
    <mergeCell ref="D1092:E1092"/>
    <mergeCell ref="D1080:E1080"/>
    <mergeCell ref="B1082:C1082"/>
    <mergeCell ref="B1083:C1085"/>
    <mergeCell ref="D1083:E1083"/>
    <mergeCell ref="D1084:E1084"/>
    <mergeCell ref="B1086:C1086"/>
    <mergeCell ref="B1070:C1070"/>
    <mergeCell ref="B1071:C1073"/>
    <mergeCell ref="D1071:E1071"/>
    <mergeCell ref="D1072:E1072"/>
    <mergeCell ref="B1074:C1074"/>
    <mergeCell ref="B1075:C1081"/>
    <mergeCell ref="D1075:E1075"/>
    <mergeCell ref="D1076:E1076"/>
    <mergeCell ref="D1078:F1078"/>
    <mergeCell ref="D1079:E1079"/>
    <mergeCell ref="B1062:C1062"/>
    <mergeCell ref="B1063:C1068"/>
    <mergeCell ref="D1063:E1063"/>
    <mergeCell ref="D1064:E1064"/>
    <mergeCell ref="D1066:F1066"/>
    <mergeCell ref="D1067:E1067"/>
    <mergeCell ref="D1068:E1068"/>
    <mergeCell ref="B1056:C1056"/>
    <mergeCell ref="B1057:C1060"/>
    <mergeCell ref="D1057:E1057"/>
    <mergeCell ref="D1058:E1058"/>
    <mergeCell ref="D1059:E1059"/>
    <mergeCell ref="B1061:C1061"/>
    <mergeCell ref="B1047:C1047"/>
    <mergeCell ref="B1048:C1055"/>
    <mergeCell ref="D1048:E1048"/>
    <mergeCell ref="D1049:E1049"/>
    <mergeCell ref="D1050:E1050"/>
    <mergeCell ref="D1054:E1054"/>
    <mergeCell ref="B1041:C1041"/>
    <mergeCell ref="D1042:F1042"/>
    <mergeCell ref="D1043:E1043"/>
    <mergeCell ref="D1044:E1044"/>
    <mergeCell ref="B1045:C1045"/>
    <mergeCell ref="B1046:C1046"/>
    <mergeCell ref="B1035:C1035"/>
    <mergeCell ref="B1036:C1036"/>
    <mergeCell ref="B1037:C1037"/>
    <mergeCell ref="B1038:C1038"/>
    <mergeCell ref="B1039:C1039"/>
    <mergeCell ref="B1040:C1040"/>
    <mergeCell ref="D1023:F1023"/>
    <mergeCell ref="D1024:E1024"/>
    <mergeCell ref="D1027:F1027"/>
    <mergeCell ref="D1028:E1028"/>
    <mergeCell ref="D1032:F1032"/>
    <mergeCell ref="D1033:E1033"/>
    <mergeCell ref="D1011:E1011"/>
    <mergeCell ref="D1012:E1012"/>
    <mergeCell ref="D1013:E1013"/>
    <mergeCell ref="B1014:C1014"/>
    <mergeCell ref="D1018:F1018"/>
    <mergeCell ref="D1019:E1019"/>
    <mergeCell ref="B1001:C1001"/>
    <mergeCell ref="D1002:F1002"/>
    <mergeCell ref="D1003:E1003"/>
    <mergeCell ref="D1005:F1005"/>
    <mergeCell ref="D1006:E1006"/>
    <mergeCell ref="B1010:C1010"/>
    <mergeCell ref="B993:C993"/>
    <mergeCell ref="B995:C995"/>
    <mergeCell ref="B996:C996"/>
    <mergeCell ref="B997:C997"/>
    <mergeCell ref="B998:C998"/>
    <mergeCell ref="B999:C999"/>
    <mergeCell ref="D986:E986"/>
    <mergeCell ref="B988:C988"/>
    <mergeCell ref="B989:C989"/>
    <mergeCell ref="B990:C990"/>
    <mergeCell ref="B991:C991"/>
    <mergeCell ref="B992:C992"/>
    <mergeCell ref="B980:C980"/>
    <mergeCell ref="B981:C981"/>
    <mergeCell ref="B982:C982"/>
    <mergeCell ref="B983:C983"/>
    <mergeCell ref="B984:C984"/>
    <mergeCell ref="D985:F985"/>
    <mergeCell ref="B972:C972"/>
    <mergeCell ref="B974:C974"/>
    <mergeCell ref="B976:C976"/>
    <mergeCell ref="D977:E977"/>
    <mergeCell ref="D978:E978"/>
    <mergeCell ref="D979:E979"/>
    <mergeCell ref="B965:C965"/>
    <mergeCell ref="B966:C966"/>
    <mergeCell ref="B967:C967"/>
    <mergeCell ref="B968:C968"/>
    <mergeCell ref="B970:C970"/>
    <mergeCell ref="B971:C971"/>
    <mergeCell ref="D955:E955"/>
    <mergeCell ref="B960:C960"/>
    <mergeCell ref="B961:C961"/>
    <mergeCell ref="B962:C962"/>
    <mergeCell ref="B963:C963"/>
    <mergeCell ref="B964:C964"/>
    <mergeCell ref="B933:C933"/>
    <mergeCell ref="D938:F938"/>
    <mergeCell ref="D939:E939"/>
    <mergeCell ref="D951:F951"/>
    <mergeCell ref="B952:C952"/>
    <mergeCell ref="D952:E952"/>
    <mergeCell ref="D922:E922"/>
    <mergeCell ref="D926:E926"/>
    <mergeCell ref="B929:C929"/>
    <mergeCell ref="D930:E930"/>
    <mergeCell ref="D931:E931"/>
    <mergeCell ref="D932:E932"/>
    <mergeCell ref="B891:C891"/>
    <mergeCell ref="D892:F892"/>
    <mergeCell ref="D893:E893"/>
    <mergeCell ref="D896:F896"/>
    <mergeCell ref="D897:E897"/>
    <mergeCell ref="D921:E921"/>
    <mergeCell ref="B884:C884"/>
    <mergeCell ref="B885:C885"/>
    <mergeCell ref="B886:C886"/>
    <mergeCell ref="B887:C887"/>
    <mergeCell ref="B888:C888"/>
    <mergeCell ref="B889:C889"/>
    <mergeCell ref="B877:C877"/>
    <mergeCell ref="B878:C878"/>
    <mergeCell ref="B879:C879"/>
    <mergeCell ref="B880:C880"/>
    <mergeCell ref="B881:C881"/>
    <mergeCell ref="B882:C882"/>
    <mergeCell ref="B871:C871"/>
    <mergeCell ref="B872:C872"/>
    <mergeCell ref="B873:C873"/>
    <mergeCell ref="B874:C874"/>
    <mergeCell ref="D874:F874"/>
    <mergeCell ref="D875:E875"/>
    <mergeCell ref="B865:C865"/>
    <mergeCell ref="D866:E866"/>
    <mergeCell ref="D867:E867"/>
    <mergeCell ref="D868:E868"/>
    <mergeCell ref="B869:C869"/>
    <mergeCell ref="B870:C870"/>
    <mergeCell ref="B848:C848"/>
    <mergeCell ref="B849:C864"/>
    <mergeCell ref="D849:E849"/>
    <mergeCell ref="D850:E850"/>
    <mergeCell ref="D851:E851"/>
    <mergeCell ref="D856:F856"/>
    <mergeCell ref="D857:E857"/>
    <mergeCell ref="D862:F862"/>
    <mergeCell ref="D863:E863"/>
    <mergeCell ref="B831:C831"/>
    <mergeCell ref="B832:C847"/>
    <mergeCell ref="D832:E832"/>
    <mergeCell ref="D833:E833"/>
    <mergeCell ref="D834:E834"/>
    <mergeCell ref="D839:F839"/>
    <mergeCell ref="D840:E840"/>
    <mergeCell ref="D845:F845"/>
    <mergeCell ref="D846:E846"/>
    <mergeCell ref="B823:C823"/>
    <mergeCell ref="B825:C825"/>
    <mergeCell ref="B826:C826"/>
    <mergeCell ref="B827:C830"/>
    <mergeCell ref="D828:F828"/>
    <mergeCell ref="D829:E829"/>
    <mergeCell ref="D817:E817"/>
    <mergeCell ref="B818:C818"/>
    <mergeCell ref="B819:C819"/>
    <mergeCell ref="B820:C820"/>
    <mergeCell ref="B821:C821"/>
    <mergeCell ref="B822:C822"/>
    <mergeCell ref="D810:E810"/>
    <mergeCell ref="B811:C811"/>
    <mergeCell ref="B812:C812"/>
    <mergeCell ref="B813:C813"/>
    <mergeCell ref="B815:C815"/>
    <mergeCell ref="D816:F816"/>
    <mergeCell ref="D803:E803"/>
    <mergeCell ref="D804:E804"/>
    <mergeCell ref="B806:C806"/>
    <mergeCell ref="B807:C807"/>
    <mergeCell ref="D808:E808"/>
    <mergeCell ref="D809:E809"/>
    <mergeCell ref="B793:C795"/>
    <mergeCell ref="D793:E793"/>
    <mergeCell ref="D794:E794"/>
    <mergeCell ref="B796:C796"/>
    <mergeCell ref="B797:C797"/>
    <mergeCell ref="B798:C805"/>
    <mergeCell ref="D798:E798"/>
    <mergeCell ref="D799:E799"/>
    <mergeCell ref="D800:E800"/>
    <mergeCell ref="D802:F802"/>
    <mergeCell ref="B787:C787"/>
    <mergeCell ref="B788:C788"/>
    <mergeCell ref="B789:C791"/>
    <mergeCell ref="D789:E789"/>
    <mergeCell ref="D790:E790"/>
    <mergeCell ref="B792:C792"/>
    <mergeCell ref="B779:C779"/>
    <mergeCell ref="B780:C782"/>
    <mergeCell ref="D780:E780"/>
    <mergeCell ref="D781:E781"/>
    <mergeCell ref="B783:C783"/>
    <mergeCell ref="B784:C786"/>
    <mergeCell ref="D784:E784"/>
    <mergeCell ref="D785:E785"/>
    <mergeCell ref="B768:C770"/>
    <mergeCell ref="D768:E768"/>
    <mergeCell ref="D769:E769"/>
    <mergeCell ref="B771:C771"/>
    <mergeCell ref="B772:C778"/>
    <mergeCell ref="D772:E772"/>
    <mergeCell ref="D773:E773"/>
    <mergeCell ref="D775:F775"/>
    <mergeCell ref="D776:E776"/>
    <mergeCell ref="D777:E777"/>
    <mergeCell ref="B762:C765"/>
    <mergeCell ref="D762:E762"/>
    <mergeCell ref="D763:E763"/>
    <mergeCell ref="D764:E764"/>
    <mergeCell ref="B766:C766"/>
    <mergeCell ref="B767:C767"/>
    <mergeCell ref="D723:F723"/>
    <mergeCell ref="D724:E724"/>
    <mergeCell ref="D726:F726"/>
    <mergeCell ref="D727:E727"/>
    <mergeCell ref="B760:C760"/>
    <mergeCell ref="B761:C761"/>
    <mergeCell ref="A703:A704"/>
    <mergeCell ref="B703:C703"/>
    <mergeCell ref="B704:C759"/>
    <mergeCell ref="D704:E704"/>
    <mergeCell ref="D705:E705"/>
    <mergeCell ref="D706:E706"/>
    <mergeCell ref="D709:F709"/>
    <mergeCell ref="D710:E710"/>
    <mergeCell ref="D719:F719"/>
    <mergeCell ref="D720:E720"/>
    <mergeCell ref="D681:F681"/>
    <mergeCell ref="D682:E682"/>
    <mergeCell ref="D683:E683"/>
    <mergeCell ref="D687:E687"/>
    <mergeCell ref="B689:C689"/>
    <mergeCell ref="B690:C702"/>
    <mergeCell ref="D690:E690"/>
    <mergeCell ref="D691:E691"/>
    <mergeCell ref="D692:E692"/>
    <mergeCell ref="D698:E698"/>
    <mergeCell ref="B638:C684"/>
    <mergeCell ref="D638:E638"/>
    <mergeCell ref="D639:E639"/>
    <mergeCell ref="D640:E640"/>
    <mergeCell ref="D642:F642"/>
    <mergeCell ref="D643:E643"/>
    <mergeCell ref="D649:F649"/>
    <mergeCell ref="D650:E650"/>
    <mergeCell ref="D652:F652"/>
    <mergeCell ref="D653:E653"/>
    <mergeCell ref="B632:C632"/>
    <mergeCell ref="D633:F633"/>
    <mergeCell ref="D634:E634"/>
    <mergeCell ref="B635:C635"/>
    <mergeCell ref="B636:C636"/>
    <mergeCell ref="B637:C637"/>
    <mergeCell ref="B616:C625"/>
    <mergeCell ref="D619:F619"/>
    <mergeCell ref="D620:E620"/>
    <mergeCell ref="B626:C626"/>
    <mergeCell ref="B627:C631"/>
    <mergeCell ref="D627:E627"/>
    <mergeCell ref="D628:E628"/>
    <mergeCell ref="D629:E629"/>
    <mergeCell ref="B606:C606"/>
    <mergeCell ref="B607:C607"/>
    <mergeCell ref="D608:F608"/>
    <mergeCell ref="D609:E609"/>
    <mergeCell ref="D610:E610"/>
    <mergeCell ref="B611:C611"/>
    <mergeCell ref="B594:C594"/>
    <mergeCell ref="B596:C596"/>
    <mergeCell ref="B597:C597"/>
    <mergeCell ref="B598:C598"/>
    <mergeCell ref="B599:C599"/>
    <mergeCell ref="B600:C600"/>
    <mergeCell ref="B583:C583"/>
    <mergeCell ref="B584:C584"/>
    <mergeCell ref="B585:C585"/>
    <mergeCell ref="B589:C589"/>
    <mergeCell ref="B590:C590"/>
    <mergeCell ref="B591:C591"/>
    <mergeCell ref="B576:C576"/>
    <mergeCell ref="B577:C577"/>
    <mergeCell ref="B578:C578"/>
    <mergeCell ref="B579:C579"/>
    <mergeCell ref="B580:C580"/>
    <mergeCell ref="B581:C581"/>
    <mergeCell ref="D565:E565"/>
    <mergeCell ref="D567:F567"/>
    <mergeCell ref="D568:E568"/>
    <mergeCell ref="B573:C573"/>
    <mergeCell ref="B574:C574"/>
    <mergeCell ref="B575:C575"/>
    <mergeCell ref="D536:E536"/>
    <mergeCell ref="D537:E537"/>
    <mergeCell ref="D538:E538"/>
    <mergeCell ref="D544:F544"/>
    <mergeCell ref="D545:E545"/>
    <mergeCell ref="D564:F564"/>
    <mergeCell ref="B529:C529"/>
    <mergeCell ref="B530:C530"/>
    <mergeCell ref="B531:C531"/>
    <mergeCell ref="D532:F532"/>
    <mergeCell ref="D533:E533"/>
    <mergeCell ref="B535:C535"/>
    <mergeCell ref="D523:E523"/>
    <mergeCell ref="D524:E524"/>
    <mergeCell ref="D525:E525"/>
    <mergeCell ref="B526:C526"/>
    <mergeCell ref="D527:F527"/>
    <mergeCell ref="D528:E528"/>
    <mergeCell ref="B516:C516"/>
    <mergeCell ref="B517:C517"/>
    <mergeCell ref="D518:F518"/>
    <mergeCell ref="D519:E519"/>
    <mergeCell ref="B521:C521"/>
    <mergeCell ref="B522:C522"/>
    <mergeCell ref="B509:C509"/>
    <mergeCell ref="B510:C510"/>
    <mergeCell ref="B511:C515"/>
    <mergeCell ref="D511:E511"/>
    <mergeCell ref="D512:E512"/>
    <mergeCell ref="D513:E513"/>
    <mergeCell ref="B490:C490"/>
    <mergeCell ref="B495:C495"/>
    <mergeCell ref="B498:C498"/>
    <mergeCell ref="B501:C501"/>
    <mergeCell ref="B504:C504"/>
    <mergeCell ref="B505:C505"/>
    <mergeCell ref="D476:E476"/>
    <mergeCell ref="B480:C480"/>
    <mergeCell ref="B481:C481"/>
    <mergeCell ref="B482:C483"/>
    <mergeCell ref="D482:E482"/>
    <mergeCell ref="D483:E483"/>
    <mergeCell ref="D464:E464"/>
    <mergeCell ref="D465:E465"/>
    <mergeCell ref="D467:E467"/>
    <mergeCell ref="D468:E468"/>
    <mergeCell ref="D469:E469"/>
    <mergeCell ref="D475:E475"/>
    <mergeCell ref="B452:C452"/>
    <mergeCell ref="B453:C453"/>
    <mergeCell ref="B454:C460"/>
    <mergeCell ref="D454:E454"/>
    <mergeCell ref="D455:E455"/>
    <mergeCell ref="D456:E456"/>
    <mergeCell ref="B444:C451"/>
    <mergeCell ref="D444:E444"/>
    <mergeCell ref="D445:E445"/>
    <mergeCell ref="D446:E446"/>
    <mergeCell ref="D448:F448"/>
    <mergeCell ref="D449:E449"/>
    <mergeCell ref="D450:E450"/>
    <mergeCell ref="B437:C437"/>
    <mergeCell ref="B438:C438"/>
    <mergeCell ref="B439:C439"/>
    <mergeCell ref="D440:F440"/>
    <mergeCell ref="D441:E441"/>
    <mergeCell ref="B443:C443"/>
    <mergeCell ref="B430:C430"/>
    <mergeCell ref="B431:C431"/>
    <mergeCell ref="B432:C432"/>
    <mergeCell ref="B433:C433"/>
    <mergeCell ref="B434:C434"/>
    <mergeCell ref="B435:C435"/>
    <mergeCell ref="B423:C423"/>
    <mergeCell ref="B424:C424"/>
    <mergeCell ref="D425:F425"/>
    <mergeCell ref="D426:E426"/>
    <mergeCell ref="B427:C427"/>
    <mergeCell ref="B429:C429"/>
    <mergeCell ref="D417:E417"/>
    <mergeCell ref="D418:E418"/>
    <mergeCell ref="D419:E419"/>
    <mergeCell ref="B420:C420"/>
    <mergeCell ref="B421:C421"/>
    <mergeCell ref="B422:C422"/>
    <mergeCell ref="B410:C410"/>
    <mergeCell ref="B411:C411"/>
    <mergeCell ref="B412:C412"/>
    <mergeCell ref="D413:F413"/>
    <mergeCell ref="D414:E414"/>
    <mergeCell ref="B416:C416"/>
    <mergeCell ref="B404:C404"/>
    <mergeCell ref="B405:C405"/>
    <mergeCell ref="B406:C406"/>
    <mergeCell ref="B407:C407"/>
    <mergeCell ref="B408:C408"/>
    <mergeCell ref="B409:C409"/>
    <mergeCell ref="B397:C397"/>
    <mergeCell ref="B399:C399"/>
    <mergeCell ref="B400:C400"/>
    <mergeCell ref="B401:C401"/>
    <mergeCell ref="B402:C402"/>
    <mergeCell ref="B403:C403"/>
    <mergeCell ref="B391:C391"/>
    <mergeCell ref="B392:C392"/>
    <mergeCell ref="B393:C393"/>
    <mergeCell ref="B394:C394"/>
    <mergeCell ref="D395:F395"/>
    <mergeCell ref="D396:E396"/>
    <mergeCell ref="B385:C385"/>
    <mergeCell ref="B386:C386"/>
    <mergeCell ref="D387:E387"/>
    <mergeCell ref="D388:E388"/>
    <mergeCell ref="D389:E389"/>
    <mergeCell ref="B390:C390"/>
    <mergeCell ref="B378:C378"/>
    <mergeCell ref="B379:C379"/>
    <mergeCell ref="B380:C380"/>
    <mergeCell ref="B381:C381"/>
    <mergeCell ref="B382:C382"/>
    <mergeCell ref="B384:C384"/>
    <mergeCell ref="B372:C372"/>
    <mergeCell ref="B373:C373"/>
    <mergeCell ref="D374:E374"/>
    <mergeCell ref="D375:E375"/>
    <mergeCell ref="D376:E376"/>
    <mergeCell ref="B377:C377"/>
    <mergeCell ref="D365:E365"/>
    <mergeCell ref="B367:C367"/>
    <mergeCell ref="B368:C371"/>
    <mergeCell ref="D368:E368"/>
    <mergeCell ref="D369:E369"/>
    <mergeCell ref="D370:E370"/>
    <mergeCell ref="B358:C358"/>
    <mergeCell ref="B359:C359"/>
    <mergeCell ref="B360:C360"/>
    <mergeCell ref="D360:E360"/>
    <mergeCell ref="D361:E361"/>
    <mergeCell ref="D362:E362"/>
    <mergeCell ref="B349:C349"/>
    <mergeCell ref="B350:C352"/>
    <mergeCell ref="D350:E350"/>
    <mergeCell ref="D351:E351"/>
    <mergeCell ref="B353:C353"/>
    <mergeCell ref="B354:C357"/>
    <mergeCell ref="D354:E354"/>
    <mergeCell ref="D355:E355"/>
    <mergeCell ref="D356:E356"/>
    <mergeCell ref="B335:C335"/>
    <mergeCell ref="D336:F336"/>
    <mergeCell ref="D337:E337"/>
    <mergeCell ref="B345:C345"/>
    <mergeCell ref="D346:E346"/>
    <mergeCell ref="D347:E347"/>
    <mergeCell ref="D328:E328"/>
    <mergeCell ref="B329:C329"/>
    <mergeCell ref="B330:C330"/>
    <mergeCell ref="B332:C332"/>
    <mergeCell ref="B333:C333"/>
    <mergeCell ref="B334:C334"/>
    <mergeCell ref="B319:C319"/>
    <mergeCell ref="B322:C322"/>
    <mergeCell ref="D323:F323"/>
    <mergeCell ref="D324:E324"/>
    <mergeCell ref="D326:F326"/>
    <mergeCell ref="D327:E327"/>
    <mergeCell ref="B312:C312"/>
    <mergeCell ref="B313:C313"/>
    <mergeCell ref="B315:C315"/>
    <mergeCell ref="B316:C316"/>
    <mergeCell ref="B317:C317"/>
    <mergeCell ref="B318:C318"/>
    <mergeCell ref="B306:C306"/>
    <mergeCell ref="B307:C307"/>
    <mergeCell ref="B308:C308"/>
    <mergeCell ref="B309:C309"/>
    <mergeCell ref="B310:C310"/>
    <mergeCell ref="B311:C311"/>
    <mergeCell ref="B299:C299"/>
    <mergeCell ref="B300:C300"/>
    <mergeCell ref="B301:C301"/>
    <mergeCell ref="D302:F302"/>
    <mergeCell ref="D303:E303"/>
    <mergeCell ref="B305:C305"/>
    <mergeCell ref="B293:C293"/>
    <mergeCell ref="D294:E294"/>
    <mergeCell ref="D295:E295"/>
    <mergeCell ref="D296:E296"/>
    <mergeCell ref="B297:C297"/>
    <mergeCell ref="B298:C298"/>
    <mergeCell ref="B284:C284"/>
    <mergeCell ref="B285:C287"/>
    <mergeCell ref="D285:E285"/>
    <mergeCell ref="D286:E286"/>
    <mergeCell ref="B288:C288"/>
    <mergeCell ref="B289:C292"/>
    <mergeCell ref="D289:E289"/>
    <mergeCell ref="D290:E290"/>
    <mergeCell ref="D291:E291"/>
    <mergeCell ref="D275:E275"/>
    <mergeCell ref="B279:C279"/>
    <mergeCell ref="B280:C283"/>
    <mergeCell ref="D280:E280"/>
    <mergeCell ref="D281:E281"/>
    <mergeCell ref="D282:E282"/>
    <mergeCell ref="D263:F263"/>
    <mergeCell ref="D264:E264"/>
    <mergeCell ref="D268:F268"/>
    <mergeCell ref="D269:E269"/>
    <mergeCell ref="D270:E270"/>
    <mergeCell ref="D274:F274"/>
    <mergeCell ref="B251:C251"/>
    <mergeCell ref="B252:C252"/>
    <mergeCell ref="B253:C253"/>
    <mergeCell ref="B254:C254"/>
    <mergeCell ref="B255:C278"/>
    <mergeCell ref="D255:E255"/>
    <mergeCell ref="D256:E256"/>
    <mergeCell ref="D257:E257"/>
    <mergeCell ref="D260:F260"/>
    <mergeCell ref="D261:E261"/>
    <mergeCell ref="B241:C241"/>
    <mergeCell ref="B242:C248"/>
    <mergeCell ref="D242:E242"/>
    <mergeCell ref="D243:E243"/>
    <mergeCell ref="D244:E244"/>
    <mergeCell ref="D250:E250"/>
    <mergeCell ref="B233:C233"/>
    <mergeCell ref="B234:C236"/>
    <mergeCell ref="D234:E234"/>
    <mergeCell ref="D235:E235"/>
    <mergeCell ref="D238:E238"/>
    <mergeCell ref="B240:C240"/>
    <mergeCell ref="D211:F211"/>
    <mergeCell ref="D212:E212"/>
    <mergeCell ref="D227:E227"/>
    <mergeCell ref="D228:E228"/>
    <mergeCell ref="D229:E229"/>
    <mergeCell ref="B232:C232"/>
    <mergeCell ref="B204:C204"/>
    <mergeCell ref="B205:C205"/>
    <mergeCell ref="B206:C206"/>
    <mergeCell ref="B207:C207"/>
    <mergeCell ref="B208:C210"/>
    <mergeCell ref="D208:E208"/>
    <mergeCell ref="D209:E209"/>
    <mergeCell ref="B194:C194"/>
    <mergeCell ref="B197:C197"/>
    <mergeCell ref="B198:C198"/>
    <mergeCell ref="B201:C201"/>
    <mergeCell ref="B202:C202"/>
    <mergeCell ref="B203:C203"/>
    <mergeCell ref="B184:C184"/>
    <mergeCell ref="B185:C185"/>
    <mergeCell ref="B186:C186"/>
    <mergeCell ref="B187:C187"/>
    <mergeCell ref="B188:C188"/>
    <mergeCell ref="B193:C193"/>
    <mergeCell ref="B178:C178"/>
    <mergeCell ref="B179:C181"/>
    <mergeCell ref="D179:E179"/>
    <mergeCell ref="D180:E180"/>
    <mergeCell ref="B182:C182"/>
    <mergeCell ref="B183:C183"/>
    <mergeCell ref="B171:C171"/>
    <mergeCell ref="B172:C172"/>
    <mergeCell ref="D174:F174"/>
    <mergeCell ref="D175:E175"/>
    <mergeCell ref="B176:C176"/>
    <mergeCell ref="B177:C177"/>
    <mergeCell ref="D162:F162"/>
    <mergeCell ref="D163:E163"/>
    <mergeCell ref="B166:C166"/>
    <mergeCell ref="D167:E167"/>
    <mergeCell ref="D168:E168"/>
    <mergeCell ref="D169:E169"/>
    <mergeCell ref="B155:C155"/>
    <mergeCell ref="D156:E156"/>
    <mergeCell ref="D157:E157"/>
    <mergeCell ref="B158:C158"/>
    <mergeCell ref="B160:C160"/>
    <mergeCell ref="B161:C161"/>
    <mergeCell ref="D142:E142"/>
    <mergeCell ref="D145:F145"/>
    <mergeCell ref="D146:E146"/>
    <mergeCell ref="C149:C154"/>
    <mergeCell ref="D149:F149"/>
    <mergeCell ref="D150:E150"/>
    <mergeCell ref="D151:E151"/>
    <mergeCell ref="B111:C138"/>
    <mergeCell ref="D111:E111"/>
    <mergeCell ref="D112:E112"/>
    <mergeCell ref="B139:C139"/>
    <mergeCell ref="D140:E140"/>
    <mergeCell ref="D141:E141"/>
    <mergeCell ref="D104:E104"/>
    <mergeCell ref="B106:C106"/>
    <mergeCell ref="B107:C109"/>
    <mergeCell ref="D107:E107"/>
    <mergeCell ref="D108:E108"/>
    <mergeCell ref="B110:C110"/>
    <mergeCell ref="D96:F96"/>
    <mergeCell ref="D97:E97"/>
    <mergeCell ref="D99:F99"/>
    <mergeCell ref="D100:E100"/>
    <mergeCell ref="D101:E101"/>
    <mergeCell ref="D103:F103"/>
    <mergeCell ref="D68:E68"/>
    <mergeCell ref="D71:E71"/>
    <mergeCell ref="D72:E72"/>
    <mergeCell ref="B74:C74"/>
    <mergeCell ref="B75:C105"/>
    <mergeCell ref="D75:E75"/>
    <mergeCell ref="D76:E76"/>
    <mergeCell ref="D77:E77"/>
    <mergeCell ref="D82:F82"/>
    <mergeCell ref="D83:E83"/>
    <mergeCell ref="B60:C60"/>
    <mergeCell ref="B61:C61"/>
    <mergeCell ref="B62:C62"/>
    <mergeCell ref="B63:C63"/>
    <mergeCell ref="B66:C66"/>
    <mergeCell ref="D67:F67"/>
    <mergeCell ref="B54:C54"/>
    <mergeCell ref="B55:C55"/>
    <mergeCell ref="B56:C56"/>
    <mergeCell ref="B57:C57"/>
    <mergeCell ref="B58:C58"/>
    <mergeCell ref="B59:C59"/>
    <mergeCell ref="B46:C46"/>
    <mergeCell ref="D47:F47"/>
    <mergeCell ref="D48:E48"/>
    <mergeCell ref="B50:C50"/>
    <mergeCell ref="B52:C52"/>
    <mergeCell ref="B53:C53"/>
    <mergeCell ref="D40:E40"/>
    <mergeCell ref="D41:E41"/>
    <mergeCell ref="B42:C42"/>
    <mergeCell ref="B43:C43"/>
    <mergeCell ref="B44:C44"/>
    <mergeCell ref="B45:C45"/>
    <mergeCell ref="B32:C32"/>
    <mergeCell ref="B34:C34"/>
    <mergeCell ref="D35:F35"/>
    <mergeCell ref="D36:E36"/>
    <mergeCell ref="B38:C38"/>
    <mergeCell ref="D39:E39"/>
    <mergeCell ref="B25:C25"/>
    <mergeCell ref="B26:C26"/>
    <mergeCell ref="B27:C27"/>
    <mergeCell ref="B28:C28"/>
    <mergeCell ref="B29:C29"/>
    <mergeCell ref="B30:C30"/>
    <mergeCell ref="D17:E17"/>
    <mergeCell ref="B19:C19"/>
    <mergeCell ref="B21:C21"/>
    <mergeCell ref="B22:C22"/>
    <mergeCell ref="B23:C23"/>
    <mergeCell ref="B24:C24"/>
    <mergeCell ref="B11:C11"/>
    <mergeCell ref="B12:C12"/>
    <mergeCell ref="B13:C13"/>
    <mergeCell ref="B14:C14"/>
    <mergeCell ref="B15:C15"/>
    <mergeCell ref="D16:F16"/>
    <mergeCell ref="E1:F1"/>
    <mergeCell ref="A3:F3"/>
    <mergeCell ref="B4:C4"/>
    <mergeCell ref="B6:C6"/>
    <mergeCell ref="B7:C7"/>
    <mergeCell ref="B8:C10"/>
    <mergeCell ref="D8:E8"/>
    <mergeCell ref="D9:E9"/>
    <mergeCell ref="D10:E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Strona &amp;P z &amp;N</oddFooter>
  </headerFooter>
  <rowBreaks count="12" manualBreakCount="12">
    <brk id="226" max="5" man="1"/>
    <brk id="283" max="5" man="1"/>
    <brk id="342" max="5" man="1"/>
    <brk id="636" max="5" man="1"/>
    <brk id="702" max="5" man="1"/>
    <brk id="759" max="5" man="1"/>
    <brk id="1009" max="5" man="1"/>
    <brk id="1060" max="5" man="1"/>
    <brk id="1217" max="5" man="1"/>
    <brk id="1484" max="5" man="1"/>
    <brk id="1595" max="5" man="1"/>
    <brk id="16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HR44"/>
  <sheetViews>
    <sheetView view="pageBreakPreview" zoomScaleNormal="100" zoomScaleSheetLayoutView="100" workbookViewId="0">
      <pane ySplit="7" topLeftCell="A10" activePane="bottomLeft" state="frozen"/>
      <selection activeCell="L13" sqref="L13"/>
      <selection pane="bottomLeft" activeCell="L2" sqref="L2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179" customWidth="1"/>
    <col min="5" max="5" width="16.85546875" style="1" bestFit="1" customWidth="1"/>
    <col min="6" max="10" width="12.7109375" style="1" customWidth="1"/>
    <col min="11" max="12" width="11.140625" style="1" bestFit="1" customWidth="1"/>
    <col min="13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54" customHeight="1">
      <c r="A1" s="335"/>
      <c r="B1" s="335"/>
      <c r="C1" s="335"/>
      <c r="D1" s="335"/>
      <c r="E1" s="335"/>
      <c r="F1" s="335"/>
      <c r="G1" s="335"/>
      <c r="H1" s="1528" t="s">
        <v>1113</v>
      </c>
      <c r="I1" s="1528"/>
      <c r="J1" s="1528"/>
    </row>
    <row r="2" spans="1:226" ht="64.5" customHeight="1">
      <c r="A2" s="1529" t="s">
        <v>294</v>
      </c>
      <c r="B2" s="1529"/>
      <c r="C2" s="1529"/>
      <c r="D2" s="1529"/>
      <c r="E2" s="1529"/>
      <c r="F2" s="1529"/>
      <c r="G2" s="1529"/>
      <c r="H2" s="1529"/>
      <c r="I2" s="1529"/>
      <c r="J2" s="1529"/>
    </row>
    <row r="3" spans="1:226" ht="15.75">
      <c r="A3" s="336"/>
      <c r="B3" s="336"/>
      <c r="C3" s="337"/>
      <c r="D3" s="338"/>
      <c r="E3" s="338"/>
      <c r="F3" s="336"/>
      <c r="G3" s="336"/>
      <c r="H3" s="336"/>
      <c r="I3" s="336"/>
      <c r="J3" s="336"/>
    </row>
    <row r="4" spans="1:226" ht="14.25" customHeight="1" thickBot="1">
      <c r="A4" s="1530" t="s">
        <v>21</v>
      </c>
      <c r="B4" s="1530"/>
      <c r="C4" s="1530"/>
      <c r="D4" s="1530"/>
      <c r="E4" s="1530"/>
      <c r="F4" s="1530"/>
      <c r="G4" s="1530"/>
      <c r="H4" s="1530"/>
      <c r="I4" s="1530"/>
      <c r="J4" s="1530"/>
    </row>
    <row r="5" spans="1:226" ht="17.25" customHeight="1">
      <c r="A5" s="1531" t="s">
        <v>15</v>
      </c>
      <c r="B5" s="1533" t="s">
        <v>295</v>
      </c>
      <c r="C5" s="1535" t="s">
        <v>0</v>
      </c>
      <c r="D5" s="1536" t="s">
        <v>1</v>
      </c>
      <c r="E5" s="1538" t="s">
        <v>5</v>
      </c>
      <c r="F5" s="1539" t="s">
        <v>296</v>
      </c>
      <c r="G5" s="1541" t="s">
        <v>2</v>
      </c>
      <c r="H5" s="1541"/>
      <c r="I5" s="1541"/>
      <c r="J5" s="1542"/>
    </row>
    <row r="6" spans="1:226" ht="38.25" customHeight="1">
      <c r="A6" s="1532"/>
      <c r="B6" s="1534"/>
      <c r="C6" s="1534"/>
      <c r="D6" s="1537"/>
      <c r="E6" s="1537"/>
      <c r="F6" s="1540"/>
      <c r="G6" s="339" t="s">
        <v>297</v>
      </c>
      <c r="H6" s="339" t="s">
        <v>298</v>
      </c>
      <c r="I6" s="339" t="s">
        <v>299</v>
      </c>
      <c r="J6" s="340" t="s">
        <v>300</v>
      </c>
    </row>
    <row r="7" spans="1:226" s="345" customFormat="1" ht="15" customHeight="1" thickBot="1">
      <c r="A7" s="341" t="s">
        <v>301</v>
      </c>
      <c r="B7" s="342" t="s">
        <v>302</v>
      </c>
      <c r="C7" s="342" t="s">
        <v>303</v>
      </c>
      <c r="D7" s="342" t="s">
        <v>304</v>
      </c>
      <c r="E7" s="342" t="s">
        <v>305</v>
      </c>
      <c r="F7" s="343" t="s">
        <v>306</v>
      </c>
      <c r="G7" s="343" t="s">
        <v>307</v>
      </c>
      <c r="H7" s="343" t="s">
        <v>308</v>
      </c>
      <c r="I7" s="343" t="s">
        <v>309</v>
      </c>
      <c r="J7" s="344" t="s">
        <v>310</v>
      </c>
    </row>
    <row r="8" spans="1:226" s="349" customFormat="1" ht="24.95" customHeight="1" thickBot="1">
      <c r="A8" s="346" t="s">
        <v>311</v>
      </c>
      <c r="B8" s="1543" t="s">
        <v>312</v>
      </c>
      <c r="C8" s="1543"/>
      <c r="D8" s="1543"/>
      <c r="E8" s="1543"/>
      <c r="F8" s="347">
        <f>F10</f>
        <v>12271</v>
      </c>
      <c r="G8" s="347">
        <f t="shared" ref="G8:J8" si="0">G10</f>
        <v>0</v>
      </c>
      <c r="H8" s="347">
        <f t="shared" si="0"/>
        <v>0</v>
      </c>
      <c r="I8" s="347">
        <f t="shared" si="0"/>
        <v>12271</v>
      </c>
      <c r="J8" s="347">
        <f t="shared" si="0"/>
        <v>0</v>
      </c>
      <c r="K8" s="348"/>
    </row>
    <row r="9" spans="1:226" s="345" customFormat="1">
      <c r="A9" s="1544"/>
      <c r="B9" s="1545"/>
      <c r="C9" s="1545"/>
      <c r="D9" s="1545"/>
      <c r="E9" s="1545"/>
      <c r="F9" s="1545"/>
      <c r="G9" s="1545"/>
      <c r="H9" s="1545"/>
      <c r="I9" s="1545"/>
      <c r="J9" s="1546"/>
    </row>
    <row r="10" spans="1:226" s="354" customFormat="1" ht="24.95" customHeight="1">
      <c r="A10" s="1547" t="s">
        <v>313</v>
      </c>
      <c r="B10" s="1548" t="s">
        <v>314</v>
      </c>
      <c r="C10" s="1549"/>
      <c r="D10" s="1550"/>
      <c r="E10" s="350" t="s">
        <v>315</v>
      </c>
      <c r="F10" s="351">
        <f>SUM(F11,F14)</f>
        <v>12271</v>
      </c>
      <c r="G10" s="351">
        <f>SUM(G11,G14)</f>
        <v>0</v>
      </c>
      <c r="H10" s="351">
        <f>SUM(H11,H14)</f>
        <v>0</v>
      </c>
      <c r="I10" s="351">
        <f>SUM(I11,I14)</f>
        <v>12271</v>
      </c>
      <c r="J10" s="352">
        <f>SUM(J11,J14)</f>
        <v>0</v>
      </c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53"/>
      <c r="BE10" s="353"/>
      <c r="BF10" s="353"/>
      <c r="BG10" s="353"/>
      <c r="BH10" s="353"/>
      <c r="BI10" s="353"/>
      <c r="BJ10" s="353"/>
      <c r="BK10" s="353"/>
      <c r="BL10" s="353"/>
      <c r="BM10" s="353"/>
      <c r="BN10" s="353"/>
      <c r="BO10" s="353"/>
      <c r="BP10" s="353"/>
      <c r="BQ10" s="353"/>
      <c r="BR10" s="353"/>
      <c r="BS10" s="353"/>
      <c r="BT10" s="353"/>
      <c r="BU10" s="353"/>
      <c r="BV10" s="353"/>
      <c r="BW10" s="353"/>
      <c r="BX10" s="353"/>
      <c r="BY10" s="353"/>
      <c r="BZ10" s="353"/>
      <c r="CA10" s="353"/>
      <c r="CB10" s="353"/>
      <c r="CC10" s="353"/>
      <c r="CD10" s="353"/>
      <c r="CE10" s="353"/>
      <c r="CF10" s="353"/>
      <c r="CG10" s="353"/>
      <c r="CH10" s="353"/>
      <c r="CI10" s="353"/>
      <c r="CJ10" s="353"/>
      <c r="CK10" s="353"/>
      <c r="CL10" s="353"/>
      <c r="CM10" s="353"/>
      <c r="CN10" s="353"/>
      <c r="CO10" s="353"/>
      <c r="CP10" s="353"/>
      <c r="CQ10" s="353"/>
      <c r="CR10" s="353"/>
      <c r="CS10" s="353"/>
      <c r="CT10" s="353"/>
      <c r="CU10" s="353"/>
      <c r="CV10" s="353"/>
      <c r="CW10" s="353"/>
      <c r="CX10" s="353"/>
      <c r="CY10" s="353"/>
      <c r="CZ10" s="353"/>
      <c r="DA10" s="353"/>
      <c r="DB10" s="353"/>
      <c r="DC10" s="353"/>
      <c r="DD10" s="353"/>
      <c r="DE10" s="353"/>
      <c r="DF10" s="353"/>
      <c r="DG10" s="353"/>
      <c r="DH10" s="353"/>
      <c r="DI10" s="353"/>
      <c r="DJ10" s="353"/>
      <c r="DK10" s="353"/>
      <c r="DL10" s="353"/>
      <c r="DM10" s="353"/>
      <c r="DN10" s="353"/>
      <c r="DO10" s="353"/>
      <c r="DP10" s="353"/>
      <c r="DQ10" s="353"/>
      <c r="DR10" s="353"/>
      <c r="DS10" s="353"/>
      <c r="DT10" s="353"/>
      <c r="DU10" s="353"/>
      <c r="DV10" s="353"/>
      <c r="DW10" s="353"/>
      <c r="DX10" s="353"/>
      <c r="DY10" s="353"/>
      <c r="DZ10" s="353"/>
      <c r="EA10" s="353"/>
      <c r="EB10" s="353"/>
      <c r="EC10" s="353"/>
      <c r="ED10" s="353"/>
      <c r="EE10" s="353"/>
      <c r="EF10" s="353"/>
      <c r="EG10" s="353"/>
      <c r="EH10" s="353"/>
      <c r="EI10" s="353"/>
      <c r="EJ10" s="353"/>
      <c r="EK10" s="353"/>
      <c r="EL10" s="353"/>
      <c r="EM10" s="353"/>
      <c r="EN10" s="353"/>
      <c r="EO10" s="353"/>
      <c r="EP10" s="353"/>
      <c r="EQ10" s="353"/>
      <c r="ER10" s="353"/>
      <c r="ES10" s="353"/>
      <c r="ET10" s="353"/>
      <c r="EU10" s="353"/>
      <c r="EV10" s="353"/>
      <c r="EW10" s="353"/>
      <c r="EX10" s="353"/>
      <c r="EY10" s="353"/>
      <c r="EZ10" s="353"/>
      <c r="FA10" s="353"/>
      <c r="FB10" s="353"/>
      <c r="FC10" s="353"/>
      <c r="FD10" s="353"/>
      <c r="FE10" s="353"/>
      <c r="FF10" s="353"/>
      <c r="FG10" s="353"/>
      <c r="FH10" s="353"/>
      <c r="FI10" s="353"/>
      <c r="FJ10" s="353"/>
      <c r="FK10" s="353"/>
      <c r="FL10" s="353"/>
      <c r="FM10" s="353"/>
      <c r="FN10" s="353"/>
      <c r="FO10" s="353"/>
      <c r="FP10" s="353"/>
      <c r="FQ10" s="353"/>
      <c r="FR10" s="353"/>
      <c r="FS10" s="353"/>
      <c r="FT10" s="353"/>
      <c r="FU10" s="353"/>
      <c r="FV10" s="353"/>
      <c r="FW10" s="353"/>
      <c r="FX10" s="353"/>
      <c r="FY10" s="353"/>
      <c r="FZ10" s="353"/>
      <c r="GA10" s="353"/>
      <c r="GB10" s="353"/>
      <c r="GC10" s="353"/>
      <c r="GD10" s="353"/>
      <c r="GE10" s="353"/>
      <c r="GF10" s="353"/>
      <c r="GG10" s="353"/>
      <c r="GH10" s="353"/>
      <c r="GI10" s="353"/>
      <c r="GJ10" s="353"/>
      <c r="GK10" s="353"/>
      <c r="GL10" s="353"/>
      <c r="GM10" s="353"/>
      <c r="GN10" s="353"/>
      <c r="GO10" s="353"/>
      <c r="GP10" s="353"/>
      <c r="GQ10" s="353"/>
      <c r="GR10" s="353"/>
      <c r="GS10" s="353"/>
      <c r="GT10" s="353"/>
      <c r="GU10" s="353"/>
      <c r="GV10" s="353"/>
      <c r="GW10" s="353"/>
      <c r="GX10" s="353"/>
      <c r="GY10" s="353"/>
      <c r="GZ10" s="353"/>
      <c r="HA10" s="353"/>
      <c r="HB10" s="353"/>
      <c r="HC10" s="353"/>
      <c r="HD10" s="353"/>
      <c r="HE10" s="353"/>
      <c r="HF10" s="353"/>
      <c r="HG10" s="353"/>
      <c r="HH10" s="353"/>
      <c r="HI10" s="353"/>
      <c r="HJ10" s="353"/>
      <c r="HK10" s="353"/>
      <c r="HL10" s="353"/>
      <c r="HM10" s="353"/>
      <c r="HN10" s="353"/>
      <c r="HO10" s="353"/>
      <c r="HP10" s="353"/>
      <c r="HQ10" s="353"/>
      <c r="HR10" s="353"/>
    </row>
    <row r="11" spans="1:226" s="354" customFormat="1" ht="24.95" customHeight="1">
      <c r="A11" s="1547"/>
      <c r="B11" s="1548"/>
      <c r="C11" s="1551"/>
      <c r="D11" s="1552"/>
      <c r="E11" s="355" t="s">
        <v>316</v>
      </c>
      <c r="F11" s="356">
        <f>SUM(F12:F13)</f>
        <v>0</v>
      </c>
      <c r="G11" s="356">
        <f>SUM(G12:G13)</f>
        <v>0</v>
      </c>
      <c r="H11" s="356">
        <f>SUM(H12:H13)</f>
        <v>0</v>
      </c>
      <c r="I11" s="356">
        <f>SUM(I12:I13)</f>
        <v>0</v>
      </c>
      <c r="J11" s="357">
        <f>SUM(J12:J13)</f>
        <v>0</v>
      </c>
      <c r="K11" s="353"/>
    </row>
    <row r="12" spans="1:226" s="354" customFormat="1" ht="15" hidden="1" customHeight="1">
      <c r="A12" s="1547"/>
      <c r="B12" s="1548"/>
      <c r="C12" s="1551"/>
      <c r="D12" s="1552"/>
      <c r="E12" s="358"/>
      <c r="F12" s="359">
        <f>SUM(G12:J12)</f>
        <v>0</v>
      </c>
      <c r="G12" s="359"/>
      <c r="H12" s="359"/>
      <c r="I12" s="359"/>
      <c r="J12" s="360"/>
      <c r="K12" s="353"/>
    </row>
    <row r="13" spans="1:226" s="354" customFormat="1" ht="15" hidden="1" customHeight="1">
      <c r="A13" s="1547"/>
      <c r="B13" s="1548"/>
      <c r="C13" s="1551"/>
      <c r="D13" s="1552"/>
      <c r="E13" s="358" t="s">
        <v>317</v>
      </c>
      <c r="F13" s="359">
        <f>SUM(G13:J13)</f>
        <v>0</v>
      </c>
      <c r="G13" s="359"/>
      <c r="H13" s="359"/>
      <c r="I13" s="359"/>
      <c r="J13" s="360"/>
      <c r="K13" s="353"/>
    </row>
    <row r="14" spans="1:226" s="354" customFormat="1" ht="24.95" customHeight="1">
      <c r="A14" s="1547"/>
      <c r="B14" s="1548"/>
      <c r="C14" s="1553"/>
      <c r="D14" s="1554"/>
      <c r="E14" s="361" t="s">
        <v>318</v>
      </c>
      <c r="F14" s="356">
        <f>SUM(F15:F15)</f>
        <v>12271</v>
      </c>
      <c r="G14" s="356">
        <f>SUM(G15:G15)</f>
        <v>0</v>
      </c>
      <c r="H14" s="356">
        <f>SUM(H15:H15)</f>
        <v>0</v>
      </c>
      <c r="I14" s="356">
        <f>SUM(I15:I15)</f>
        <v>12271</v>
      </c>
      <c r="J14" s="357">
        <f>SUM(J15:J15)</f>
        <v>0</v>
      </c>
      <c r="K14" s="353"/>
    </row>
    <row r="15" spans="1:226" s="354" customFormat="1" ht="15" customHeight="1" thickBot="1">
      <c r="A15" s="1547"/>
      <c r="B15" s="1548"/>
      <c r="C15" s="362">
        <v>150</v>
      </c>
      <c r="D15" s="363" t="s">
        <v>319</v>
      </c>
      <c r="E15" s="358" t="s">
        <v>320</v>
      </c>
      <c r="F15" s="359">
        <f t="shared" ref="F15" si="1">SUM(G15:J15)</f>
        <v>12271</v>
      </c>
      <c r="G15" s="359"/>
      <c r="H15" s="359"/>
      <c r="I15" s="359">
        <v>12271</v>
      </c>
      <c r="J15" s="360"/>
      <c r="K15" s="353"/>
    </row>
    <row r="16" spans="1:226" ht="15" hidden="1" customHeight="1" thickBot="1">
      <c r="A16" s="364"/>
      <c r="B16" s="365"/>
      <c r="C16" s="362"/>
      <c r="D16" s="358"/>
      <c r="E16" s="358" t="s">
        <v>321</v>
      </c>
      <c r="F16" s="359">
        <f>SUM(G16:J16)</f>
        <v>0</v>
      </c>
      <c r="G16" s="359"/>
      <c r="H16" s="359"/>
      <c r="I16" s="359"/>
      <c r="J16" s="360"/>
    </row>
    <row r="17" spans="1:11" ht="24.95" customHeight="1" thickBot="1">
      <c r="A17" s="1525" t="s">
        <v>322</v>
      </c>
      <c r="B17" s="1526"/>
      <c r="C17" s="1526"/>
      <c r="D17" s="1526"/>
      <c r="E17" s="1527"/>
      <c r="F17" s="366">
        <f>F10</f>
        <v>12271</v>
      </c>
      <c r="G17" s="366">
        <f t="shared" ref="G17:J17" si="2">G10</f>
        <v>0</v>
      </c>
      <c r="H17" s="366">
        <f t="shared" si="2"/>
        <v>0</v>
      </c>
      <c r="I17" s="366">
        <f t="shared" si="2"/>
        <v>12271</v>
      </c>
      <c r="J17" s="366">
        <f t="shared" si="2"/>
        <v>0</v>
      </c>
    </row>
    <row r="18" spans="1:11">
      <c r="A18" s="336"/>
      <c r="B18" s="336"/>
      <c r="C18" s="337"/>
      <c r="D18" s="337"/>
      <c r="E18" s="336"/>
      <c r="F18" s="336"/>
      <c r="G18" s="336"/>
      <c r="H18" s="336"/>
      <c r="I18" s="336"/>
      <c r="J18" s="336"/>
    </row>
    <row r="19" spans="1:11">
      <c r="A19" s="336"/>
      <c r="B19" s="336"/>
      <c r="C19" s="337"/>
      <c r="D19" s="337"/>
      <c r="E19" s="336"/>
      <c r="F19" s="336"/>
      <c r="G19" s="336"/>
      <c r="H19" s="336"/>
      <c r="I19" s="336"/>
      <c r="J19" s="336"/>
    </row>
    <row r="20" spans="1:11">
      <c r="A20" s="336"/>
      <c r="B20" s="336"/>
      <c r="C20" s="337"/>
      <c r="D20" s="337"/>
      <c r="E20" s="336"/>
      <c r="F20" s="336"/>
      <c r="G20" s="336"/>
      <c r="H20" s="336"/>
      <c r="I20" s="336"/>
      <c r="J20" s="336"/>
    </row>
    <row r="21" spans="1:11">
      <c r="A21" s="336"/>
      <c r="B21" s="336"/>
      <c r="C21" s="337"/>
      <c r="D21" s="337"/>
      <c r="E21" s="367"/>
      <c r="F21" s="368"/>
      <c r="G21" s="368"/>
      <c r="H21" s="368"/>
      <c r="I21" s="368"/>
      <c r="J21" s="368"/>
    </row>
    <row r="22" spans="1:11" s="106" customFormat="1">
      <c r="C22" s="369"/>
      <c r="D22" s="369"/>
      <c r="E22" s="370"/>
      <c r="F22" s="371"/>
      <c r="G22" s="371"/>
      <c r="H22" s="371"/>
      <c r="I22" s="371"/>
      <c r="J22" s="371"/>
    </row>
    <row r="23" spans="1:11" s="106" customFormat="1">
      <c r="C23" s="369"/>
      <c r="D23" s="369"/>
      <c r="E23" s="372"/>
      <c r="F23" s="371"/>
      <c r="G23" s="371"/>
      <c r="H23" s="371"/>
      <c r="I23" s="371"/>
      <c r="J23" s="371"/>
    </row>
    <row r="24" spans="1:11" s="106" customFormat="1">
      <c r="C24" s="369"/>
      <c r="D24" s="369"/>
      <c r="E24" s="372"/>
      <c r="F24" s="371"/>
      <c r="G24" s="371"/>
      <c r="H24" s="371"/>
      <c r="I24" s="371"/>
      <c r="J24" s="371"/>
    </row>
    <row r="25" spans="1:11" s="106" customFormat="1">
      <c r="C25" s="369"/>
      <c r="D25" s="369"/>
      <c r="E25" s="373"/>
      <c r="F25" s="371"/>
      <c r="G25" s="371"/>
      <c r="H25" s="371"/>
      <c r="I25" s="371"/>
      <c r="J25" s="371"/>
    </row>
    <row r="26" spans="1:11" s="106" customFormat="1">
      <c r="C26" s="369"/>
      <c r="D26" s="369"/>
      <c r="E26" s="374"/>
      <c r="F26" s="371"/>
      <c r="G26" s="371"/>
      <c r="H26" s="371"/>
      <c r="I26" s="371"/>
      <c r="J26" s="371"/>
    </row>
    <row r="27" spans="1:11" s="106" customFormat="1" ht="15">
      <c r="C27" s="369"/>
      <c r="D27" s="369"/>
      <c r="E27" s="375"/>
      <c r="F27" s="376"/>
      <c r="G27" s="376"/>
      <c r="H27" s="376"/>
      <c r="I27" s="376"/>
      <c r="J27" s="376"/>
      <c r="K27" s="371"/>
    </row>
    <row r="28" spans="1:11">
      <c r="A28" s="336"/>
      <c r="B28" s="336"/>
      <c r="C28" s="337"/>
      <c r="D28" s="337"/>
      <c r="E28" s="336"/>
      <c r="F28" s="368"/>
      <c r="G28" s="368"/>
      <c r="H28" s="368"/>
      <c r="I28" s="368"/>
      <c r="J28" s="368"/>
    </row>
    <row r="29" spans="1:11">
      <c r="A29" s="336"/>
      <c r="B29" s="336"/>
      <c r="C29" s="337"/>
      <c r="D29" s="337"/>
      <c r="E29" s="377"/>
      <c r="F29" s="368"/>
      <c r="G29" s="368"/>
      <c r="H29" s="368"/>
      <c r="I29" s="368"/>
      <c r="J29" s="368"/>
    </row>
    <row r="30" spans="1:11">
      <c r="A30" s="336"/>
      <c r="B30" s="336"/>
      <c r="C30" s="337"/>
      <c r="D30" s="337"/>
      <c r="E30" s="378"/>
      <c r="F30" s="368"/>
      <c r="G30" s="368"/>
      <c r="H30" s="368"/>
      <c r="I30" s="368"/>
      <c r="J30" s="368"/>
    </row>
    <row r="31" spans="1:11">
      <c r="A31" s="336"/>
      <c r="B31" s="336"/>
      <c r="C31" s="337"/>
      <c r="D31" s="337"/>
      <c r="E31" s="378"/>
      <c r="F31" s="368"/>
      <c r="G31" s="368"/>
      <c r="H31" s="368"/>
      <c r="I31" s="368"/>
      <c r="J31" s="368"/>
    </row>
    <row r="32" spans="1:11">
      <c r="A32" s="336"/>
      <c r="B32" s="336"/>
      <c r="C32" s="337"/>
      <c r="D32" s="337"/>
      <c r="E32" s="379"/>
      <c r="F32" s="368"/>
      <c r="G32" s="368"/>
      <c r="H32" s="368"/>
      <c r="I32" s="368"/>
      <c r="J32" s="368"/>
    </row>
    <row r="33" spans="1:11">
      <c r="A33" s="336"/>
      <c r="B33" s="336"/>
      <c r="C33" s="337"/>
      <c r="D33" s="337"/>
      <c r="E33" s="380"/>
      <c r="F33" s="368"/>
      <c r="G33" s="368"/>
      <c r="H33" s="368"/>
      <c r="I33" s="368"/>
      <c r="J33" s="368"/>
    </row>
    <row r="34" spans="1:11" ht="15">
      <c r="A34" s="336"/>
      <c r="B34" s="336"/>
      <c r="C34" s="337"/>
      <c r="D34" s="337"/>
      <c r="E34" s="381"/>
      <c r="F34" s="382"/>
      <c r="G34" s="382"/>
      <c r="H34" s="382"/>
      <c r="I34" s="382"/>
      <c r="J34" s="382"/>
      <c r="K34" s="2"/>
    </row>
    <row r="35" spans="1:11">
      <c r="A35" s="336"/>
      <c r="B35" s="336"/>
      <c r="C35" s="337"/>
      <c r="D35" s="337"/>
      <c r="E35" s="336"/>
      <c r="F35" s="368"/>
      <c r="G35" s="368"/>
      <c r="H35" s="368"/>
      <c r="I35" s="368"/>
      <c r="J35" s="368"/>
    </row>
    <row r="36" spans="1:11">
      <c r="A36" s="336"/>
      <c r="B36" s="336"/>
      <c r="C36" s="337"/>
      <c r="D36" s="337"/>
      <c r="E36" s="336"/>
      <c r="F36" s="368"/>
      <c r="G36" s="368"/>
      <c r="H36" s="368"/>
      <c r="I36" s="368"/>
      <c r="J36" s="368"/>
    </row>
    <row r="37" spans="1:11" s="106" customFormat="1">
      <c r="C37" s="369"/>
      <c r="D37" s="369"/>
      <c r="E37" s="373"/>
      <c r="F37" s="371"/>
      <c r="G37" s="371"/>
      <c r="H37" s="371"/>
      <c r="I37" s="371"/>
      <c r="J37" s="371"/>
    </row>
    <row r="38" spans="1:11" s="106" customFormat="1">
      <c r="C38" s="369"/>
      <c r="D38" s="369"/>
      <c r="E38" s="373"/>
      <c r="F38" s="371"/>
      <c r="G38" s="371"/>
      <c r="H38" s="371"/>
      <c r="I38" s="371"/>
      <c r="J38" s="371"/>
    </row>
    <row r="39" spans="1:11" s="106" customFormat="1">
      <c r="C39" s="369"/>
      <c r="D39" s="369"/>
      <c r="E39" s="383"/>
      <c r="F39" s="376"/>
      <c r="G39" s="376"/>
      <c r="H39" s="376"/>
      <c r="I39" s="376"/>
      <c r="J39" s="376"/>
    </row>
    <row r="40" spans="1:11">
      <c r="A40" s="336"/>
      <c r="B40" s="336"/>
      <c r="C40" s="337"/>
      <c r="D40" s="337"/>
      <c r="E40" s="384"/>
      <c r="F40" s="382"/>
      <c r="G40" s="382"/>
      <c r="H40" s="382"/>
      <c r="I40" s="382"/>
      <c r="J40" s="382"/>
    </row>
    <row r="41" spans="1:11">
      <c r="A41" s="336"/>
      <c r="B41" s="336"/>
      <c r="C41" s="337"/>
      <c r="D41" s="337"/>
      <c r="E41" s="379"/>
      <c r="F41" s="368"/>
      <c r="G41" s="368"/>
      <c r="H41" s="368"/>
      <c r="I41" s="368"/>
      <c r="J41" s="368"/>
    </row>
    <row r="42" spans="1:11">
      <c r="A42" s="336"/>
      <c r="B42" s="336"/>
      <c r="C42" s="337"/>
      <c r="D42" s="337"/>
      <c r="E42" s="379"/>
      <c r="F42" s="368"/>
      <c r="G42" s="368"/>
      <c r="H42" s="368"/>
      <c r="I42" s="368"/>
      <c r="J42" s="368"/>
    </row>
    <row r="43" spans="1:11">
      <c r="A43" s="336"/>
      <c r="B43" s="336"/>
      <c r="C43" s="337"/>
      <c r="D43" s="337"/>
      <c r="E43" s="384"/>
      <c r="F43" s="382"/>
      <c r="G43" s="382"/>
      <c r="H43" s="382"/>
      <c r="I43" s="382"/>
      <c r="J43" s="382"/>
    </row>
    <row r="44" spans="1:11">
      <c r="A44" s="336"/>
      <c r="B44" s="336"/>
      <c r="C44" s="337"/>
      <c r="D44" s="337"/>
      <c r="E44" s="385"/>
      <c r="F44" s="386"/>
      <c r="G44" s="386"/>
      <c r="H44" s="386"/>
      <c r="I44" s="386"/>
      <c r="J44" s="386"/>
    </row>
  </sheetData>
  <mergeCells count="16">
    <mergeCell ref="A17:E17"/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  <mergeCell ref="B8:E8"/>
    <mergeCell ref="A9:J9"/>
    <mergeCell ref="A10:A15"/>
    <mergeCell ref="B10:B15"/>
    <mergeCell ref="C10:D1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80" orientation="landscape" r:id="rId1"/>
  <headerFooter alignWithMargins="0">
    <oddFooter>Strona &amp;P z &amp;N</oddFooter>
  </headerFooter>
  <rowBreaks count="1" manualBreakCount="1">
    <brk id="17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HR1469"/>
  <sheetViews>
    <sheetView view="pageBreakPreview" zoomScaleSheetLayoutView="100" workbookViewId="0">
      <pane ySplit="7" topLeftCell="A1041" activePane="bottomLeft" state="frozen"/>
      <selection activeCell="L13" sqref="L13"/>
      <selection pane="bottomLeft" activeCell="L2" sqref="L2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179" customWidth="1"/>
    <col min="5" max="5" width="16.85546875" style="1" bestFit="1" customWidth="1"/>
    <col min="6" max="10" width="12.7109375" style="1" customWidth="1"/>
    <col min="11" max="11" width="11.42578125" style="1" bestFit="1" customWidth="1"/>
    <col min="12" max="12" width="11.140625" style="1" bestFit="1" customWidth="1"/>
    <col min="13" max="14" width="9.85546875" style="1" bestFit="1" customWidth="1"/>
    <col min="15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43.5" customHeight="1">
      <c r="A1" s="335"/>
      <c r="B1" s="335"/>
      <c r="C1" s="335"/>
      <c r="D1" s="335"/>
      <c r="E1" s="335"/>
      <c r="F1" s="335"/>
      <c r="G1" s="335"/>
      <c r="H1" s="1528" t="s">
        <v>1114</v>
      </c>
      <c r="I1" s="1528"/>
      <c r="J1" s="1528"/>
    </row>
    <row r="2" spans="1:226" ht="69.95" customHeight="1">
      <c r="A2" s="1529" t="s">
        <v>323</v>
      </c>
      <c r="B2" s="1529"/>
      <c r="C2" s="1529"/>
      <c r="D2" s="1529"/>
      <c r="E2" s="1529"/>
      <c r="F2" s="1529"/>
      <c r="G2" s="1529"/>
      <c r="H2" s="1529"/>
      <c r="I2" s="1529"/>
      <c r="J2" s="1529"/>
    </row>
    <row r="3" spans="1:226" ht="15.75">
      <c r="A3" s="291"/>
      <c r="B3" s="291"/>
      <c r="C3" s="291"/>
      <c r="D3" s="291"/>
      <c r="E3" s="291"/>
      <c r="F3" s="291"/>
      <c r="G3" s="291"/>
      <c r="H3" s="291"/>
      <c r="I3" s="291"/>
      <c r="J3" s="291"/>
    </row>
    <row r="4" spans="1:226" ht="14.25" customHeight="1" thickBot="1">
      <c r="A4" s="1530" t="s">
        <v>21</v>
      </c>
      <c r="B4" s="1530"/>
      <c r="C4" s="1530"/>
      <c r="D4" s="1530"/>
      <c r="E4" s="1530"/>
      <c r="F4" s="1530"/>
      <c r="G4" s="1530"/>
      <c r="H4" s="1530"/>
      <c r="I4" s="1530"/>
      <c r="J4" s="1530"/>
    </row>
    <row r="5" spans="1:226" ht="17.25" customHeight="1">
      <c r="A5" s="1531" t="s">
        <v>15</v>
      </c>
      <c r="B5" s="1533" t="s">
        <v>295</v>
      </c>
      <c r="C5" s="1535" t="s">
        <v>0</v>
      </c>
      <c r="D5" s="1536" t="s">
        <v>1</v>
      </c>
      <c r="E5" s="1538" t="s">
        <v>5</v>
      </c>
      <c r="F5" s="1539" t="s">
        <v>296</v>
      </c>
      <c r="G5" s="1541" t="s">
        <v>2</v>
      </c>
      <c r="H5" s="1541"/>
      <c r="I5" s="1541"/>
      <c r="J5" s="1542"/>
    </row>
    <row r="6" spans="1:226" ht="31.5" customHeight="1">
      <c r="A6" s="1532"/>
      <c r="B6" s="1534"/>
      <c r="C6" s="1534"/>
      <c r="D6" s="1537"/>
      <c r="E6" s="1537"/>
      <c r="F6" s="1540"/>
      <c r="G6" s="339" t="s">
        <v>297</v>
      </c>
      <c r="H6" s="339" t="s">
        <v>298</v>
      </c>
      <c r="I6" s="339" t="s">
        <v>299</v>
      </c>
      <c r="J6" s="340" t="s">
        <v>300</v>
      </c>
    </row>
    <row r="7" spans="1:226" s="345" customFormat="1" ht="14.25" customHeight="1" thickBot="1">
      <c r="A7" s="387" t="s">
        <v>301</v>
      </c>
      <c r="B7" s="388" t="s">
        <v>302</v>
      </c>
      <c r="C7" s="388" t="s">
        <v>303</v>
      </c>
      <c r="D7" s="388" t="s">
        <v>304</v>
      </c>
      <c r="E7" s="388" t="s">
        <v>305</v>
      </c>
      <c r="F7" s="389" t="s">
        <v>306</v>
      </c>
      <c r="G7" s="389" t="s">
        <v>307</v>
      </c>
      <c r="H7" s="389" t="s">
        <v>308</v>
      </c>
      <c r="I7" s="389" t="s">
        <v>309</v>
      </c>
      <c r="J7" s="390" t="s">
        <v>310</v>
      </c>
    </row>
    <row r="8" spans="1:226" s="349" customFormat="1" ht="20.100000000000001" customHeight="1" thickBot="1">
      <c r="A8" s="346" t="s">
        <v>311</v>
      </c>
      <c r="B8" s="1543" t="s">
        <v>324</v>
      </c>
      <c r="C8" s="1543"/>
      <c r="D8" s="1543"/>
      <c r="E8" s="1543"/>
      <c r="F8" s="347">
        <f>F10+F19+F26+F49+F62+F80+F96+F131+F144+F157+F176+F198+F212+F226+F242+F256+F274+F285+F308+F331+F364+F395+F420+F443+F468+F499</f>
        <v>309853421</v>
      </c>
      <c r="G8" s="347">
        <f>G10+G19+G26+G49+G62+G80+G96+G131+G144+G157+G176+G198+G212+G226+G242+G256+G274+G285+G308+G331+G364+G395+G420+G443+G468+G499</f>
        <v>48537293</v>
      </c>
      <c r="H8" s="347">
        <f>H10+H19+H26+H49+H62+H80+H96+H131+H144+H157+H176+H198+H212+H226+H242+H256+H274+H285+H308+H331+H364+H395+H420+H443+H468+H499</f>
        <v>213951072</v>
      </c>
      <c r="I8" s="347">
        <f>I10+I19+I26+I49+I62+I80+I96+I131+I144+I157+I176+I198+I212+I226+I242+I256+I274+I285+I308+I331+I364+I395+I420+I443+I468+I499</f>
        <v>47365056</v>
      </c>
      <c r="J8" s="391">
        <f>J10+J19+J26+J49+J62+J80+J96+J131+J144+J157+J176+J198+J212+J226+J242+J256+J274+J285+J308+J331+J364+J395+J420+J443+J468+J499</f>
        <v>0</v>
      </c>
    </row>
    <row r="9" spans="1:226" s="345" customFormat="1" ht="15" customHeight="1">
      <c r="A9" s="1544"/>
      <c r="B9" s="1545"/>
      <c r="C9" s="1545"/>
      <c r="D9" s="1545"/>
      <c r="E9" s="1545"/>
      <c r="F9" s="1545"/>
      <c r="G9" s="1545"/>
      <c r="H9" s="1545"/>
      <c r="I9" s="1545"/>
      <c r="J9" s="1546"/>
    </row>
    <row r="10" spans="1:226" s="354" customFormat="1" ht="24.95" customHeight="1">
      <c r="A10" s="1547" t="s">
        <v>313</v>
      </c>
      <c r="B10" s="1548" t="s">
        <v>325</v>
      </c>
      <c r="C10" s="1549"/>
      <c r="D10" s="1550"/>
      <c r="E10" s="350" t="s">
        <v>315</v>
      </c>
      <c r="F10" s="351">
        <f>SUM(F11,F15)</f>
        <v>1000000</v>
      </c>
      <c r="G10" s="351">
        <f>SUM(G11,G15)</f>
        <v>0</v>
      </c>
      <c r="H10" s="351">
        <f>SUM(H11,H15)</f>
        <v>0</v>
      </c>
      <c r="I10" s="351">
        <f>SUM(I11,I15)</f>
        <v>1000000</v>
      </c>
      <c r="J10" s="352">
        <f>SUM(J11,J15)</f>
        <v>0</v>
      </c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  <c r="AL10" s="353"/>
      <c r="AM10" s="353"/>
      <c r="AN10" s="353"/>
      <c r="AO10" s="353"/>
      <c r="AP10" s="353"/>
      <c r="AQ10" s="353"/>
      <c r="AR10" s="353"/>
      <c r="AS10" s="353"/>
      <c r="AT10" s="353"/>
      <c r="AU10" s="353"/>
      <c r="AV10" s="353"/>
      <c r="AW10" s="353"/>
      <c r="AX10" s="353"/>
      <c r="AY10" s="353"/>
      <c r="AZ10" s="353"/>
      <c r="BA10" s="353"/>
      <c r="BB10" s="353"/>
      <c r="BC10" s="353"/>
      <c r="BD10" s="353"/>
      <c r="BE10" s="353"/>
      <c r="BF10" s="353"/>
      <c r="BG10" s="353"/>
      <c r="BH10" s="353"/>
      <c r="BI10" s="353"/>
      <c r="BJ10" s="353"/>
      <c r="BK10" s="353"/>
      <c r="BL10" s="353"/>
      <c r="BM10" s="353"/>
      <c r="BN10" s="353"/>
      <c r="BO10" s="353"/>
      <c r="BP10" s="353"/>
      <c r="BQ10" s="353"/>
      <c r="BR10" s="353"/>
      <c r="BS10" s="353"/>
      <c r="BT10" s="353"/>
      <c r="BU10" s="353"/>
      <c r="BV10" s="353"/>
      <c r="BW10" s="353"/>
      <c r="BX10" s="353"/>
      <c r="BY10" s="353"/>
      <c r="BZ10" s="353"/>
      <c r="CA10" s="353"/>
      <c r="CB10" s="353"/>
      <c r="CC10" s="353"/>
      <c r="CD10" s="353"/>
      <c r="CE10" s="353"/>
      <c r="CF10" s="353"/>
      <c r="CG10" s="353"/>
      <c r="CH10" s="353"/>
      <c r="CI10" s="353"/>
      <c r="CJ10" s="353"/>
      <c r="CK10" s="353"/>
      <c r="CL10" s="353"/>
      <c r="CM10" s="353"/>
      <c r="CN10" s="353"/>
      <c r="CO10" s="353"/>
      <c r="CP10" s="353"/>
      <c r="CQ10" s="353"/>
      <c r="CR10" s="353"/>
      <c r="CS10" s="353"/>
      <c r="CT10" s="353"/>
      <c r="CU10" s="353"/>
      <c r="CV10" s="353"/>
      <c r="CW10" s="353"/>
      <c r="CX10" s="353"/>
      <c r="CY10" s="353"/>
      <c r="CZ10" s="353"/>
      <c r="DA10" s="353"/>
      <c r="DB10" s="353"/>
      <c r="DC10" s="353"/>
      <c r="DD10" s="353"/>
      <c r="DE10" s="353"/>
      <c r="DF10" s="353"/>
      <c r="DG10" s="353"/>
      <c r="DH10" s="353"/>
      <c r="DI10" s="353"/>
      <c r="DJ10" s="353"/>
      <c r="DK10" s="353"/>
      <c r="DL10" s="353"/>
      <c r="DM10" s="353"/>
      <c r="DN10" s="353"/>
      <c r="DO10" s="353"/>
      <c r="DP10" s="353"/>
      <c r="DQ10" s="353"/>
      <c r="DR10" s="353"/>
      <c r="DS10" s="353"/>
      <c r="DT10" s="353"/>
      <c r="DU10" s="353"/>
      <c r="DV10" s="353"/>
      <c r="DW10" s="353"/>
      <c r="DX10" s="353"/>
      <c r="DY10" s="353"/>
      <c r="DZ10" s="353"/>
      <c r="EA10" s="353"/>
      <c r="EB10" s="353"/>
      <c r="EC10" s="353"/>
      <c r="ED10" s="353"/>
      <c r="EE10" s="353"/>
      <c r="EF10" s="353"/>
      <c r="EG10" s="353"/>
      <c r="EH10" s="353"/>
      <c r="EI10" s="353"/>
      <c r="EJ10" s="353"/>
      <c r="EK10" s="353"/>
      <c r="EL10" s="353"/>
      <c r="EM10" s="353"/>
      <c r="EN10" s="353"/>
      <c r="EO10" s="353"/>
      <c r="EP10" s="353"/>
      <c r="EQ10" s="353"/>
      <c r="ER10" s="353"/>
      <c r="ES10" s="353"/>
      <c r="ET10" s="353"/>
      <c r="EU10" s="353"/>
      <c r="EV10" s="353"/>
      <c r="EW10" s="353"/>
      <c r="EX10" s="353"/>
      <c r="EY10" s="353"/>
      <c r="EZ10" s="353"/>
      <c r="FA10" s="353"/>
      <c r="FB10" s="353"/>
      <c r="FC10" s="353"/>
      <c r="FD10" s="353"/>
      <c r="FE10" s="353"/>
      <c r="FF10" s="353"/>
      <c r="FG10" s="353"/>
      <c r="FH10" s="353"/>
      <c r="FI10" s="353"/>
      <c r="FJ10" s="353"/>
      <c r="FK10" s="353"/>
      <c r="FL10" s="353"/>
      <c r="FM10" s="353"/>
      <c r="FN10" s="353"/>
      <c r="FO10" s="353"/>
      <c r="FP10" s="353"/>
      <c r="FQ10" s="353"/>
      <c r="FR10" s="353"/>
      <c r="FS10" s="353"/>
      <c r="FT10" s="353"/>
      <c r="FU10" s="353"/>
      <c r="FV10" s="353"/>
      <c r="FW10" s="353"/>
      <c r="FX10" s="353"/>
      <c r="FY10" s="353"/>
      <c r="FZ10" s="353"/>
      <c r="GA10" s="353"/>
      <c r="GB10" s="353"/>
      <c r="GC10" s="353"/>
      <c r="GD10" s="353"/>
      <c r="GE10" s="353"/>
      <c r="GF10" s="353"/>
      <c r="GG10" s="353"/>
      <c r="GH10" s="353"/>
      <c r="GI10" s="353"/>
      <c r="GJ10" s="353"/>
      <c r="GK10" s="353"/>
      <c r="GL10" s="353"/>
      <c r="GM10" s="353"/>
      <c r="GN10" s="353"/>
      <c r="GO10" s="353"/>
      <c r="GP10" s="353"/>
      <c r="GQ10" s="353"/>
      <c r="GR10" s="353"/>
      <c r="GS10" s="353"/>
      <c r="GT10" s="353"/>
      <c r="GU10" s="353"/>
      <c r="GV10" s="353"/>
      <c r="GW10" s="353"/>
      <c r="GX10" s="353"/>
      <c r="GY10" s="353"/>
      <c r="GZ10" s="353"/>
      <c r="HA10" s="353"/>
      <c r="HB10" s="353"/>
      <c r="HC10" s="353"/>
      <c r="HD10" s="353"/>
      <c r="HE10" s="353"/>
      <c r="HF10" s="353"/>
      <c r="HG10" s="353"/>
      <c r="HH10" s="353"/>
      <c r="HI10" s="353"/>
      <c r="HJ10" s="353"/>
      <c r="HK10" s="353"/>
      <c r="HL10" s="353"/>
      <c r="HM10" s="353"/>
      <c r="HN10" s="353"/>
      <c r="HO10" s="353"/>
      <c r="HP10" s="353"/>
      <c r="HQ10" s="353"/>
      <c r="HR10" s="353"/>
    </row>
    <row r="11" spans="1:226" s="354" customFormat="1" ht="24.95" customHeight="1">
      <c r="A11" s="1547"/>
      <c r="B11" s="1548"/>
      <c r="C11" s="1551"/>
      <c r="D11" s="1552"/>
      <c r="E11" s="355" t="s">
        <v>316</v>
      </c>
      <c r="F11" s="356">
        <f>SUM(F12:F14)</f>
        <v>0</v>
      </c>
      <c r="G11" s="356">
        <f>SUM(G12:G14)</f>
        <v>0</v>
      </c>
      <c r="H11" s="356">
        <f>SUM(H12:H14)</f>
        <v>0</v>
      </c>
      <c r="I11" s="356">
        <f>SUM(I12:I14)</f>
        <v>0</v>
      </c>
      <c r="J11" s="357">
        <f>SUM(J12:J14)</f>
        <v>0</v>
      </c>
      <c r="K11" s="353"/>
    </row>
    <row r="12" spans="1:226" s="354" customFormat="1" ht="15" hidden="1" customHeight="1">
      <c r="A12" s="1547"/>
      <c r="B12" s="1548"/>
      <c r="C12" s="1551"/>
      <c r="D12" s="1552"/>
      <c r="E12" s="358"/>
      <c r="F12" s="359">
        <f>SUM(G12:J12)</f>
        <v>0</v>
      </c>
      <c r="G12" s="359"/>
      <c r="H12" s="359"/>
      <c r="I12" s="359"/>
      <c r="J12" s="360"/>
      <c r="K12" s="353"/>
    </row>
    <row r="13" spans="1:226" s="354" customFormat="1" ht="15" hidden="1" customHeight="1">
      <c r="A13" s="1547"/>
      <c r="B13" s="1548"/>
      <c r="C13" s="1551"/>
      <c r="D13" s="1552"/>
      <c r="E13" s="358"/>
      <c r="F13" s="359">
        <f>SUM(G13:J13)</f>
        <v>0</v>
      </c>
      <c r="G13" s="359"/>
      <c r="H13" s="359"/>
      <c r="I13" s="359"/>
      <c r="J13" s="360"/>
      <c r="K13" s="353"/>
    </row>
    <row r="14" spans="1:226" s="354" customFormat="1" ht="15" hidden="1" customHeight="1">
      <c r="A14" s="1547"/>
      <c r="B14" s="1548"/>
      <c r="C14" s="1551"/>
      <c r="D14" s="1552"/>
      <c r="E14" s="358"/>
      <c r="F14" s="359">
        <f>SUM(G14:J14)</f>
        <v>0</v>
      </c>
      <c r="G14" s="359"/>
      <c r="H14" s="359"/>
      <c r="I14" s="359"/>
      <c r="J14" s="360"/>
      <c r="K14" s="353"/>
    </row>
    <row r="15" spans="1:226" s="354" customFormat="1" ht="24.95" customHeight="1">
      <c r="A15" s="1547"/>
      <c r="B15" s="1548"/>
      <c r="C15" s="1553"/>
      <c r="D15" s="1554"/>
      <c r="E15" s="361" t="s">
        <v>318</v>
      </c>
      <c r="F15" s="356">
        <f>SUM(F16:F18)</f>
        <v>1000000</v>
      </c>
      <c r="G15" s="356">
        <f>SUM(G16:G18)</f>
        <v>0</v>
      </c>
      <c r="H15" s="356">
        <f>SUM(H16:H18)</f>
        <v>0</v>
      </c>
      <c r="I15" s="356">
        <f>SUM(I16:I18)</f>
        <v>1000000</v>
      </c>
      <c r="J15" s="357">
        <f>SUM(J16:J18)</f>
        <v>0</v>
      </c>
      <c r="K15" s="353"/>
    </row>
    <row r="16" spans="1:226" s="354" customFormat="1" ht="20.100000000000001" customHeight="1">
      <c r="A16" s="1547"/>
      <c r="B16" s="1548"/>
      <c r="C16" s="362">
        <v>150</v>
      </c>
      <c r="D16" s="358" t="s">
        <v>319</v>
      </c>
      <c r="E16" s="358" t="s">
        <v>326</v>
      </c>
      <c r="F16" s="359">
        <f t="shared" ref="F16:F18" si="0">SUM(G16:J16)</f>
        <v>1000000</v>
      </c>
      <c r="G16" s="359"/>
      <c r="H16" s="359"/>
      <c r="I16" s="359">
        <v>1000000</v>
      </c>
      <c r="J16" s="360"/>
      <c r="K16" s="353"/>
    </row>
    <row r="17" spans="1:226" s="354" customFormat="1" ht="15" hidden="1" customHeight="1">
      <c r="A17" s="1547"/>
      <c r="B17" s="1548"/>
      <c r="C17" s="362"/>
      <c r="D17" s="358"/>
      <c r="E17" s="358"/>
      <c r="F17" s="359">
        <f t="shared" si="0"/>
        <v>0</v>
      </c>
      <c r="G17" s="359"/>
      <c r="H17" s="359"/>
      <c r="I17" s="359"/>
      <c r="J17" s="360"/>
      <c r="K17" s="353"/>
    </row>
    <row r="18" spans="1:226" s="354" customFormat="1" ht="15" hidden="1" customHeight="1">
      <c r="A18" s="1547"/>
      <c r="B18" s="1548"/>
      <c r="C18" s="362"/>
      <c r="D18" s="358"/>
      <c r="E18" s="358"/>
      <c r="F18" s="359">
        <f t="shared" si="0"/>
        <v>0</v>
      </c>
      <c r="G18" s="359"/>
      <c r="H18" s="359"/>
      <c r="I18" s="359"/>
      <c r="J18" s="360"/>
      <c r="K18" s="353"/>
    </row>
    <row r="19" spans="1:226" s="354" customFormat="1" ht="24.95" customHeight="1">
      <c r="A19" s="1547" t="s">
        <v>327</v>
      </c>
      <c r="B19" s="1548" t="s">
        <v>328</v>
      </c>
      <c r="C19" s="1549"/>
      <c r="D19" s="1550"/>
      <c r="E19" s="350" t="s">
        <v>315</v>
      </c>
      <c r="F19" s="351">
        <f>SUM(F20,F24)</f>
        <v>8500000</v>
      </c>
      <c r="G19" s="351">
        <f>SUM(G20,G24)</f>
        <v>0</v>
      </c>
      <c r="H19" s="351">
        <f>SUM(H20,H24)</f>
        <v>0</v>
      </c>
      <c r="I19" s="351">
        <f>SUM(I20,I24)</f>
        <v>8500000</v>
      </c>
      <c r="J19" s="352">
        <f>SUM(J20,J24)</f>
        <v>0</v>
      </c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  <c r="AI19" s="353"/>
      <c r="AJ19" s="353"/>
      <c r="AK19" s="353"/>
      <c r="AL19" s="353"/>
      <c r="AM19" s="353"/>
      <c r="AN19" s="353"/>
      <c r="AO19" s="353"/>
      <c r="AP19" s="353"/>
      <c r="AQ19" s="353"/>
      <c r="AR19" s="353"/>
      <c r="AS19" s="353"/>
      <c r="AT19" s="353"/>
      <c r="AU19" s="353"/>
      <c r="AV19" s="353"/>
      <c r="AW19" s="353"/>
      <c r="AX19" s="353"/>
      <c r="AY19" s="353"/>
      <c r="AZ19" s="353"/>
      <c r="BA19" s="353"/>
      <c r="BB19" s="353"/>
      <c r="BC19" s="353"/>
      <c r="BD19" s="353"/>
      <c r="BE19" s="353"/>
      <c r="BF19" s="353"/>
      <c r="BG19" s="353"/>
      <c r="BH19" s="353"/>
      <c r="BI19" s="353"/>
      <c r="BJ19" s="353"/>
      <c r="BK19" s="353"/>
      <c r="BL19" s="353"/>
      <c r="BM19" s="353"/>
      <c r="BN19" s="353"/>
      <c r="BO19" s="353"/>
      <c r="BP19" s="353"/>
      <c r="BQ19" s="353"/>
      <c r="BR19" s="353"/>
      <c r="BS19" s="353"/>
      <c r="BT19" s="353"/>
      <c r="BU19" s="353"/>
      <c r="BV19" s="353"/>
      <c r="BW19" s="353"/>
      <c r="BX19" s="353"/>
      <c r="BY19" s="353"/>
      <c r="BZ19" s="353"/>
      <c r="CA19" s="353"/>
      <c r="CB19" s="353"/>
      <c r="CC19" s="353"/>
      <c r="CD19" s="353"/>
      <c r="CE19" s="353"/>
      <c r="CF19" s="353"/>
      <c r="CG19" s="353"/>
      <c r="CH19" s="353"/>
      <c r="CI19" s="353"/>
      <c r="CJ19" s="353"/>
      <c r="CK19" s="353"/>
      <c r="CL19" s="353"/>
      <c r="CM19" s="353"/>
      <c r="CN19" s="353"/>
      <c r="CO19" s="353"/>
      <c r="CP19" s="353"/>
      <c r="CQ19" s="353"/>
      <c r="CR19" s="353"/>
      <c r="CS19" s="353"/>
      <c r="CT19" s="353"/>
      <c r="CU19" s="353"/>
      <c r="CV19" s="353"/>
      <c r="CW19" s="353"/>
      <c r="CX19" s="353"/>
      <c r="CY19" s="353"/>
      <c r="CZ19" s="353"/>
      <c r="DA19" s="353"/>
      <c r="DB19" s="353"/>
      <c r="DC19" s="353"/>
      <c r="DD19" s="353"/>
      <c r="DE19" s="353"/>
      <c r="DF19" s="353"/>
      <c r="DG19" s="353"/>
      <c r="DH19" s="353"/>
      <c r="DI19" s="353"/>
      <c r="DJ19" s="353"/>
      <c r="DK19" s="353"/>
      <c r="DL19" s="353"/>
      <c r="DM19" s="353"/>
      <c r="DN19" s="353"/>
      <c r="DO19" s="353"/>
      <c r="DP19" s="353"/>
      <c r="DQ19" s="353"/>
      <c r="DR19" s="353"/>
      <c r="DS19" s="353"/>
      <c r="DT19" s="353"/>
      <c r="DU19" s="353"/>
      <c r="DV19" s="353"/>
      <c r="DW19" s="353"/>
      <c r="DX19" s="353"/>
      <c r="DY19" s="353"/>
      <c r="DZ19" s="353"/>
      <c r="EA19" s="353"/>
      <c r="EB19" s="353"/>
      <c r="EC19" s="353"/>
      <c r="ED19" s="353"/>
      <c r="EE19" s="353"/>
      <c r="EF19" s="353"/>
      <c r="EG19" s="353"/>
      <c r="EH19" s="353"/>
      <c r="EI19" s="353"/>
      <c r="EJ19" s="353"/>
      <c r="EK19" s="353"/>
      <c r="EL19" s="353"/>
      <c r="EM19" s="353"/>
      <c r="EN19" s="353"/>
      <c r="EO19" s="353"/>
      <c r="EP19" s="353"/>
      <c r="EQ19" s="353"/>
      <c r="ER19" s="353"/>
      <c r="ES19" s="353"/>
      <c r="ET19" s="353"/>
      <c r="EU19" s="353"/>
      <c r="EV19" s="353"/>
      <c r="EW19" s="353"/>
      <c r="EX19" s="353"/>
      <c r="EY19" s="353"/>
      <c r="EZ19" s="353"/>
      <c r="FA19" s="353"/>
      <c r="FB19" s="353"/>
      <c r="FC19" s="353"/>
      <c r="FD19" s="353"/>
      <c r="FE19" s="353"/>
      <c r="FF19" s="353"/>
      <c r="FG19" s="353"/>
      <c r="FH19" s="353"/>
      <c r="FI19" s="353"/>
      <c r="FJ19" s="353"/>
      <c r="FK19" s="353"/>
      <c r="FL19" s="353"/>
      <c r="FM19" s="353"/>
      <c r="FN19" s="353"/>
      <c r="FO19" s="353"/>
      <c r="FP19" s="353"/>
      <c r="FQ19" s="353"/>
      <c r="FR19" s="353"/>
      <c r="FS19" s="353"/>
      <c r="FT19" s="353"/>
      <c r="FU19" s="353"/>
      <c r="FV19" s="353"/>
      <c r="FW19" s="353"/>
      <c r="FX19" s="353"/>
      <c r="FY19" s="353"/>
      <c r="FZ19" s="353"/>
      <c r="GA19" s="353"/>
      <c r="GB19" s="353"/>
      <c r="GC19" s="353"/>
      <c r="GD19" s="353"/>
      <c r="GE19" s="353"/>
      <c r="GF19" s="353"/>
      <c r="GG19" s="353"/>
      <c r="GH19" s="353"/>
      <c r="GI19" s="353"/>
      <c r="GJ19" s="353"/>
      <c r="GK19" s="353"/>
      <c r="GL19" s="353"/>
      <c r="GM19" s="353"/>
      <c r="GN19" s="353"/>
      <c r="GO19" s="353"/>
      <c r="GP19" s="353"/>
      <c r="GQ19" s="353"/>
      <c r="GR19" s="353"/>
      <c r="GS19" s="353"/>
      <c r="GT19" s="353"/>
      <c r="GU19" s="353"/>
      <c r="GV19" s="353"/>
      <c r="GW19" s="353"/>
      <c r="GX19" s="353"/>
      <c r="GY19" s="353"/>
      <c r="GZ19" s="353"/>
      <c r="HA19" s="353"/>
      <c r="HB19" s="353"/>
      <c r="HC19" s="353"/>
      <c r="HD19" s="353"/>
      <c r="HE19" s="353"/>
      <c r="HF19" s="353"/>
      <c r="HG19" s="353"/>
      <c r="HH19" s="353"/>
      <c r="HI19" s="353"/>
      <c r="HJ19" s="353"/>
      <c r="HK19" s="353"/>
      <c r="HL19" s="353"/>
      <c r="HM19" s="353"/>
      <c r="HN19" s="353"/>
      <c r="HO19" s="353"/>
      <c r="HP19" s="353"/>
      <c r="HQ19" s="353"/>
      <c r="HR19" s="353"/>
    </row>
    <row r="20" spans="1:226" s="354" customFormat="1" ht="24.95" customHeight="1">
      <c r="A20" s="1547"/>
      <c r="B20" s="1548"/>
      <c r="C20" s="1551"/>
      <c r="D20" s="1552"/>
      <c r="E20" s="355" t="s">
        <v>316</v>
      </c>
      <c r="F20" s="356">
        <f>SUM(F21:F23)</f>
        <v>0</v>
      </c>
      <c r="G20" s="356">
        <f>SUM(G21:G23)</f>
        <v>0</v>
      </c>
      <c r="H20" s="356">
        <f>SUM(H21:H23)</f>
        <v>0</v>
      </c>
      <c r="I20" s="356">
        <f>SUM(I21:I23)</f>
        <v>0</v>
      </c>
      <c r="J20" s="357">
        <f>SUM(J21:J23)</f>
        <v>0</v>
      </c>
      <c r="K20" s="353"/>
    </row>
    <row r="21" spans="1:226" s="354" customFormat="1" ht="15" hidden="1" customHeight="1">
      <c r="A21" s="1547"/>
      <c r="B21" s="1548"/>
      <c r="C21" s="1551"/>
      <c r="D21" s="1552"/>
      <c r="E21" s="358"/>
      <c r="F21" s="359">
        <f>SUM(G21:J21)</f>
        <v>0</v>
      </c>
      <c r="G21" s="359"/>
      <c r="H21" s="359"/>
      <c r="I21" s="359"/>
      <c r="J21" s="360"/>
      <c r="K21" s="353"/>
    </row>
    <row r="22" spans="1:226" s="354" customFormat="1" ht="15" hidden="1" customHeight="1">
      <c r="A22" s="1547"/>
      <c r="B22" s="1548"/>
      <c r="C22" s="1551"/>
      <c r="D22" s="1552"/>
      <c r="E22" s="358"/>
      <c r="F22" s="359">
        <f>SUM(G22:J22)</f>
        <v>0</v>
      </c>
      <c r="G22" s="359"/>
      <c r="H22" s="359"/>
      <c r="I22" s="359"/>
      <c r="J22" s="360"/>
      <c r="K22" s="353"/>
    </row>
    <row r="23" spans="1:226" s="354" customFormat="1" ht="15" hidden="1" customHeight="1">
      <c r="A23" s="1547"/>
      <c r="B23" s="1548"/>
      <c r="C23" s="1551"/>
      <c r="D23" s="1552"/>
      <c r="E23" s="358"/>
      <c r="F23" s="359">
        <f>SUM(G23:J23)</f>
        <v>0</v>
      </c>
      <c r="G23" s="359"/>
      <c r="H23" s="359"/>
      <c r="I23" s="359"/>
      <c r="J23" s="360"/>
      <c r="K23" s="353"/>
    </row>
    <row r="24" spans="1:226" s="354" customFormat="1" ht="24.95" customHeight="1">
      <c r="A24" s="1547"/>
      <c r="B24" s="1548"/>
      <c r="C24" s="1553"/>
      <c r="D24" s="1554"/>
      <c r="E24" s="361" t="s">
        <v>318</v>
      </c>
      <c r="F24" s="356">
        <f>SUM(F25:F25)</f>
        <v>8500000</v>
      </c>
      <c r="G24" s="356">
        <f>SUM(G25:G25)</f>
        <v>0</v>
      </c>
      <c r="H24" s="356">
        <f>SUM(H25:H25)</f>
        <v>0</v>
      </c>
      <c r="I24" s="356">
        <f>SUM(I25:I25)</f>
        <v>8500000</v>
      </c>
      <c r="J24" s="357">
        <f>SUM(J25:J25)</f>
        <v>0</v>
      </c>
      <c r="K24" s="353"/>
    </row>
    <row r="25" spans="1:226" s="354" customFormat="1" ht="20.100000000000001" customHeight="1">
      <c r="A25" s="1547"/>
      <c r="B25" s="1548"/>
      <c r="C25" s="362">
        <v>150</v>
      </c>
      <c r="D25" s="358" t="s">
        <v>319</v>
      </c>
      <c r="E25" s="358" t="s">
        <v>320</v>
      </c>
      <c r="F25" s="359">
        <f t="shared" ref="F25" si="1">SUM(G25:J25)</f>
        <v>8500000</v>
      </c>
      <c r="G25" s="359"/>
      <c r="H25" s="359"/>
      <c r="I25" s="359">
        <v>8500000</v>
      </c>
      <c r="J25" s="360"/>
      <c r="K25" s="353"/>
    </row>
    <row r="26" spans="1:226" s="354" customFormat="1" ht="24.95" customHeight="1">
      <c r="A26" s="1547" t="s">
        <v>329</v>
      </c>
      <c r="B26" s="1597" t="s">
        <v>330</v>
      </c>
      <c r="C26" s="1570">
        <v>750</v>
      </c>
      <c r="D26" s="1572" t="s">
        <v>331</v>
      </c>
      <c r="E26" s="350" t="s">
        <v>315</v>
      </c>
      <c r="F26" s="351">
        <f>SUM(F27,F46)</f>
        <v>2680002</v>
      </c>
      <c r="G26" s="351">
        <f>SUM(G27,G46)</f>
        <v>402001</v>
      </c>
      <c r="H26" s="351">
        <f>SUM(H27,H46)</f>
        <v>0</v>
      </c>
      <c r="I26" s="351">
        <f>SUM(I27,I46)</f>
        <v>2278001</v>
      </c>
      <c r="J26" s="352">
        <f>SUM(J27,J46)</f>
        <v>0</v>
      </c>
      <c r="K26" s="353"/>
    </row>
    <row r="27" spans="1:226" s="354" customFormat="1" ht="24.95" customHeight="1">
      <c r="A27" s="1547"/>
      <c r="B27" s="1548"/>
      <c r="C27" s="1570"/>
      <c r="D27" s="1572"/>
      <c r="E27" s="355" t="s">
        <v>332</v>
      </c>
      <c r="F27" s="356">
        <f>SUM(F28,F33)</f>
        <v>2180002</v>
      </c>
      <c r="G27" s="356">
        <f>SUM(G28,G33)</f>
        <v>327001</v>
      </c>
      <c r="H27" s="356">
        <f>SUM(H28,H33)</f>
        <v>0</v>
      </c>
      <c r="I27" s="356">
        <f>SUM(I28,I33)</f>
        <v>1853001</v>
      </c>
      <c r="J27" s="357">
        <f>SUM(J28,J33)</f>
        <v>0</v>
      </c>
      <c r="K27" s="353"/>
      <c r="L27" s="392"/>
    </row>
    <row r="28" spans="1:226" s="354" customFormat="1" ht="24.95" customHeight="1">
      <c r="A28" s="1547"/>
      <c r="B28" s="1548"/>
      <c r="C28" s="1570"/>
      <c r="D28" s="1572"/>
      <c r="E28" s="393" t="s">
        <v>333</v>
      </c>
      <c r="F28" s="394">
        <f>SUM(F29:F32)</f>
        <v>165002</v>
      </c>
      <c r="G28" s="394">
        <f>SUM(G29:G32)</f>
        <v>24751</v>
      </c>
      <c r="H28" s="394">
        <f>SUM(H29:H32)</f>
        <v>0</v>
      </c>
      <c r="I28" s="394">
        <f>SUM(I29:I32)</f>
        <v>140251</v>
      </c>
      <c r="J28" s="395">
        <f>SUM(J29:J32)</f>
        <v>0</v>
      </c>
      <c r="K28" s="353"/>
      <c r="L28" s="392"/>
    </row>
    <row r="29" spans="1:226" s="354" customFormat="1" ht="15" customHeight="1">
      <c r="A29" s="1547"/>
      <c r="B29" s="1548"/>
      <c r="C29" s="1570"/>
      <c r="D29" s="1572"/>
      <c r="E29" s="358" t="s">
        <v>334</v>
      </c>
      <c r="F29" s="359">
        <f>SUM(G29:J29)</f>
        <v>21038</v>
      </c>
      <c r="G29" s="359"/>
      <c r="H29" s="359"/>
      <c r="I29" s="359">
        <v>21038</v>
      </c>
      <c r="J29" s="360"/>
      <c r="K29" s="353"/>
    </row>
    <row r="30" spans="1:226" s="354" customFormat="1" ht="15" customHeight="1">
      <c r="A30" s="1547"/>
      <c r="B30" s="1548"/>
      <c r="C30" s="1570"/>
      <c r="D30" s="1572"/>
      <c r="E30" s="358" t="s">
        <v>335</v>
      </c>
      <c r="F30" s="359">
        <f>SUM(G30:J30)</f>
        <v>3713</v>
      </c>
      <c r="G30" s="359">
        <v>3713</v>
      </c>
      <c r="H30" s="359"/>
      <c r="I30" s="359"/>
      <c r="J30" s="360"/>
      <c r="K30" s="353"/>
    </row>
    <row r="31" spans="1:226" s="354" customFormat="1" ht="15" customHeight="1">
      <c r="A31" s="1547"/>
      <c r="B31" s="1548"/>
      <c r="C31" s="1570"/>
      <c r="D31" s="1572"/>
      <c r="E31" s="358" t="s">
        <v>336</v>
      </c>
      <c r="F31" s="359">
        <f>SUM(G31:J31)</f>
        <v>119213</v>
      </c>
      <c r="G31" s="359"/>
      <c r="H31" s="359"/>
      <c r="I31" s="359">
        <v>119213</v>
      </c>
      <c r="J31" s="360"/>
      <c r="K31" s="353"/>
    </row>
    <row r="32" spans="1:226" s="354" customFormat="1" ht="15" customHeight="1">
      <c r="A32" s="1547"/>
      <c r="B32" s="1548"/>
      <c r="C32" s="1570"/>
      <c r="D32" s="1572"/>
      <c r="E32" s="358" t="s">
        <v>337</v>
      </c>
      <c r="F32" s="359">
        <f>SUM(G32:J32)</f>
        <v>21038</v>
      </c>
      <c r="G32" s="359">
        <v>21038</v>
      </c>
      <c r="H32" s="359"/>
      <c r="I32" s="359"/>
      <c r="J32" s="360"/>
      <c r="K32" s="353"/>
    </row>
    <row r="33" spans="1:226" s="354" customFormat="1" ht="24.95" customHeight="1">
      <c r="A33" s="1547"/>
      <c r="B33" s="1548"/>
      <c r="C33" s="1570"/>
      <c r="D33" s="1572"/>
      <c r="E33" s="393" t="s">
        <v>338</v>
      </c>
      <c r="F33" s="394">
        <f>SUM(F34:F45)</f>
        <v>2015000</v>
      </c>
      <c r="G33" s="394">
        <f t="shared" ref="G33:J33" si="2">SUM(G34:G45)</f>
        <v>302250</v>
      </c>
      <c r="H33" s="394">
        <f t="shared" si="2"/>
        <v>0</v>
      </c>
      <c r="I33" s="394">
        <f t="shared" si="2"/>
        <v>1712750</v>
      </c>
      <c r="J33" s="395">
        <f t="shared" si="2"/>
        <v>0</v>
      </c>
      <c r="K33" s="353"/>
      <c r="L33" s="353"/>
      <c r="M33" s="353"/>
      <c r="N33" s="353"/>
      <c r="O33" s="353"/>
      <c r="P33" s="353"/>
      <c r="Q33" s="353"/>
      <c r="R33" s="353"/>
      <c r="S33" s="353"/>
      <c r="T33" s="353"/>
      <c r="U33" s="353"/>
      <c r="V33" s="353"/>
      <c r="W33" s="353"/>
      <c r="X33" s="353"/>
      <c r="Y33" s="353"/>
      <c r="Z33" s="353"/>
      <c r="AA33" s="353"/>
      <c r="AB33" s="353"/>
      <c r="AC33" s="353"/>
      <c r="AD33" s="353"/>
      <c r="AE33" s="353"/>
      <c r="AF33" s="353"/>
      <c r="AG33" s="353"/>
      <c r="AH33" s="353"/>
      <c r="AI33" s="353"/>
      <c r="AJ33" s="353"/>
      <c r="AK33" s="353"/>
      <c r="AL33" s="353"/>
      <c r="AM33" s="353"/>
      <c r="AN33" s="353"/>
      <c r="AO33" s="353"/>
      <c r="AP33" s="353"/>
      <c r="AQ33" s="353"/>
      <c r="AR33" s="353"/>
      <c r="AS33" s="353"/>
      <c r="AT33" s="353"/>
      <c r="AU33" s="353"/>
      <c r="AV33" s="353"/>
      <c r="AW33" s="353"/>
      <c r="AX33" s="353"/>
      <c r="AY33" s="353"/>
      <c r="AZ33" s="353"/>
      <c r="BA33" s="353"/>
      <c r="BB33" s="353"/>
      <c r="BC33" s="353"/>
      <c r="BD33" s="353"/>
      <c r="BE33" s="353"/>
      <c r="BF33" s="353"/>
      <c r="BG33" s="353"/>
      <c r="BH33" s="353"/>
      <c r="BI33" s="353"/>
      <c r="BJ33" s="353"/>
      <c r="BK33" s="353"/>
      <c r="BL33" s="353"/>
      <c r="BM33" s="353"/>
      <c r="BN33" s="353"/>
      <c r="BO33" s="353"/>
      <c r="BP33" s="353"/>
      <c r="BQ33" s="353"/>
      <c r="BR33" s="353"/>
      <c r="BS33" s="353"/>
      <c r="BT33" s="353"/>
      <c r="BU33" s="353"/>
      <c r="BV33" s="353"/>
      <c r="BW33" s="353"/>
      <c r="BX33" s="353"/>
      <c r="BY33" s="353"/>
      <c r="BZ33" s="353"/>
      <c r="CA33" s="353"/>
      <c r="CB33" s="353"/>
      <c r="CC33" s="353"/>
      <c r="CD33" s="353"/>
      <c r="CE33" s="353"/>
      <c r="CF33" s="353"/>
      <c r="CG33" s="353"/>
      <c r="CH33" s="353"/>
      <c r="CI33" s="353"/>
      <c r="CJ33" s="353"/>
      <c r="CK33" s="353"/>
      <c r="CL33" s="353"/>
      <c r="CM33" s="353"/>
      <c r="CN33" s="353"/>
      <c r="CO33" s="353"/>
      <c r="CP33" s="353"/>
      <c r="CQ33" s="353"/>
      <c r="CR33" s="353"/>
      <c r="CS33" s="353"/>
      <c r="CT33" s="353"/>
      <c r="CU33" s="353"/>
      <c r="CV33" s="353"/>
      <c r="CW33" s="353"/>
      <c r="CX33" s="353"/>
      <c r="CY33" s="353"/>
      <c r="CZ33" s="353"/>
      <c r="DA33" s="353"/>
      <c r="DB33" s="353"/>
      <c r="DC33" s="353"/>
      <c r="DD33" s="353"/>
      <c r="DE33" s="353"/>
      <c r="DF33" s="353"/>
      <c r="DG33" s="353"/>
      <c r="DH33" s="353"/>
      <c r="DI33" s="353"/>
      <c r="DJ33" s="353"/>
      <c r="DK33" s="353"/>
      <c r="DL33" s="353"/>
      <c r="DM33" s="353"/>
      <c r="DN33" s="353"/>
      <c r="DO33" s="353"/>
      <c r="DP33" s="353"/>
      <c r="DQ33" s="353"/>
      <c r="DR33" s="353"/>
      <c r="DS33" s="353"/>
      <c r="DT33" s="353"/>
      <c r="DU33" s="353"/>
      <c r="DV33" s="353"/>
      <c r="DW33" s="353"/>
      <c r="DX33" s="353"/>
      <c r="DY33" s="353"/>
      <c r="DZ33" s="353"/>
      <c r="EA33" s="353"/>
      <c r="EB33" s="353"/>
      <c r="EC33" s="353"/>
      <c r="ED33" s="353"/>
      <c r="EE33" s="353"/>
      <c r="EF33" s="353"/>
      <c r="EG33" s="353"/>
      <c r="EH33" s="353"/>
      <c r="EI33" s="353"/>
      <c r="EJ33" s="353"/>
      <c r="EK33" s="353"/>
      <c r="EL33" s="353"/>
      <c r="EM33" s="353"/>
      <c r="EN33" s="353"/>
      <c r="EO33" s="353"/>
      <c r="EP33" s="353"/>
      <c r="EQ33" s="353"/>
      <c r="ER33" s="353"/>
      <c r="ES33" s="353"/>
      <c r="ET33" s="353"/>
      <c r="EU33" s="353"/>
      <c r="EV33" s="353"/>
      <c r="EW33" s="353"/>
      <c r="EX33" s="353"/>
      <c r="EY33" s="353"/>
      <c r="EZ33" s="353"/>
      <c r="FA33" s="353"/>
      <c r="FB33" s="353"/>
      <c r="FC33" s="353"/>
      <c r="FD33" s="353"/>
      <c r="FE33" s="353"/>
      <c r="FF33" s="353"/>
      <c r="FG33" s="353"/>
      <c r="FH33" s="353"/>
      <c r="FI33" s="353"/>
      <c r="FJ33" s="353"/>
      <c r="FK33" s="353"/>
      <c r="FL33" s="353"/>
      <c r="FM33" s="353"/>
      <c r="FN33" s="353"/>
      <c r="FO33" s="353"/>
      <c r="FP33" s="353"/>
      <c r="FQ33" s="353"/>
      <c r="FR33" s="353"/>
      <c r="FS33" s="353"/>
      <c r="FT33" s="353"/>
      <c r="FU33" s="353"/>
      <c r="FV33" s="353"/>
      <c r="FW33" s="353"/>
      <c r="FX33" s="353"/>
      <c r="FY33" s="353"/>
      <c r="FZ33" s="353"/>
      <c r="GA33" s="353"/>
      <c r="GB33" s="353"/>
      <c r="GC33" s="353"/>
      <c r="GD33" s="353"/>
      <c r="GE33" s="353"/>
      <c r="GF33" s="353"/>
      <c r="GG33" s="353"/>
      <c r="GH33" s="353"/>
      <c r="GI33" s="353"/>
      <c r="GJ33" s="353"/>
      <c r="GK33" s="353"/>
      <c r="GL33" s="353"/>
      <c r="GM33" s="353"/>
      <c r="GN33" s="353"/>
      <c r="GO33" s="353"/>
      <c r="GP33" s="353"/>
      <c r="GQ33" s="353"/>
      <c r="GR33" s="353"/>
      <c r="GS33" s="353"/>
      <c r="GT33" s="353"/>
      <c r="GU33" s="353"/>
      <c r="GV33" s="353"/>
      <c r="GW33" s="353"/>
      <c r="GX33" s="353"/>
      <c r="GY33" s="353"/>
      <c r="GZ33" s="353"/>
      <c r="HA33" s="353"/>
      <c r="HB33" s="353"/>
      <c r="HC33" s="353"/>
      <c r="HD33" s="353"/>
      <c r="HE33" s="353"/>
      <c r="HF33" s="353"/>
      <c r="HG33" s="353"/>
      <c r="HH33" s="353"/>
      <c r="HI33" s="353"/>
      <c r="HJ33" s="353"/>
      <c r="HK33" s="353"/>
      <c r="HL33" s="353"/>
      <c r="HM33" s="353"/>
      <c r="HN33" s="353"/>
      <c r="HO33" s="353"/>
      <c r="HP33" s="353"/>
      <c r="HQ33" s="353"/>
      <c r="HR33" s="353"/>
    </row>
    <row r="34" spans="1:226" s="354" customFormat="1" ht="15" customHeight="1">
      <c r="A34" s="1547"/>
      <c r="B34" s="1548"/>
      <c r="C34" s="1570"/>
      <c r="D34" s="1572"/>
      <c r="E34" s="358" t="s">
        <v>339</v>
      </c>
      <c r="F34" s="359">
        <f>SUM(G34:J34)</f>
        <v>8500</v>
      </c>
      <c r="G34" s="359"/>
      <c r="H34" s="359"/>
      <c r="I34" s="359">
        <v>8500</v>
      </c>
      <c r="J34" s="360"/>
      <c r="K34" s="353"/>
    </row>
    <row r="35" spans="1:226" s="354" customFormat="1" ht="15" customHeight="1">
      <c r="A35" s="1547"/>
      <c r="B35" s="1548"/>
      <c r="C35" s="1570"/>
      <c r="D35" s="1572"/>
      <c r="E35" s="358" t="s">
        <v>340</v>
      </c>
      <c r="F35" s="359">
        <f>SUM(G35:J35)</f>
        <v>1500</v>
      </c>
      <c r="G35" s="359">
        <v>1500</v>
      </c>
      <c r="H35" s="359"/>
      <c r="I35" s="359"/>
      <c r="J35" s="360"/>
      <c r="K35" s="353"/>
    </row>
    <row r="36" spans="1:226" s="354" customFormat="1" ht="15" customHeight="1">
      <c r="A36" s="1547"/>
      <c r="B36" s="1548"/>
      <c r="C36" s="1570"/>
      <c r="D36" s="1572"/>
      <c r="E36" s="358" t="s">
        <v>341</v>
      </c>
      <c r="F36" s="359">
        <f t="shared" ref="F36:F42" si="3">SUM(G36:J36)</f>
        <v>1657500</v>
      </c>
      <c r="G36" s="359"/>
      <c r="H36" s="359"/>
      <c r="I36" s="359">
        <v>1657500</v>
      </c>
      <c r="J36" s="360"/>
      <c r="K36" s="353"/>
    </row>
    <row r="37" spans="1:226" s="354" customFormat="1" ht="15" customHeight="1">
      <c r="A37" s="1547"/>
      <c r="B37" s="1548"/>
      <c r="C37" s="1570"/>
      <c r="D37" s="1572"/>
      <c r="E37" s="358" t="s">
        <v>342</v>
      </c>
      <c r="F37" s="359">
        <f t="shared" si="3"/>
        <v>292500</v>
      </c>
      <c r="G37" s="359">
        <v>292500</v>
      </c>
      <c r="H37" s="359"/>
      <c r="I37" s="359"/>
      <c r="J37" s="360"/>
      <c r="K37" s="353"/>
    </row>
    <row r="38" spans="1:226" s="354" customFormat="1" ht="15" customHeight="1">
      <c r="A38" s="1547"/>
      <c r="B38" s="1548"/>
      <c r="C38" s="1570"/>
      <c r="D38" s="1572"/>
      <c r="E38" s="358" t="s">
        <v>343</v>
      </c>
      <c r="F38" s="359">
        <f t="shared" si="3"/>
        <v>17000</v>
      </c>
      <c r="G38" s="359"/>
      <c r="H38" s="359"/>
      <c r="I38" s="359">
        <v>17000</v>
      </c>
      <c r="J38" s="360"/>
      <c r="K38" s="353"/>
    </row>
    <row r="39" spans="1:226" s="354" customFormat="1" ht="15" customHeight="1">
      <c r="A39" s="1547"/>
      <c r="B39" s="1548"/>
      <c r="C39" s="1570"/>
      <c r="D39" s="1572"/>
      <c r="E39" s="358" t="s">
        <v>344</v>
      </c>
      <c r="F39" s="359">
        <f t="shared" si="3"/>
        <v>3000</v>
      </c>
      <c r="G39" s="359">
        <v>3000</v>
      </c>
      <c r="H39" s="359"/>
      <c r="I39" s="359"/>
      <c r="J39" s="360"/>
      <c r="K39" s="353"/>
    </row>
    <row r="40" spans="1:226" s="354" customFormat="1" ht="15" customHeight="1">
      <c r="A40" s="1547"/>
      <c r="B40" s="1548"/>
      <c r="C40" s="1570"/>
      <c r="D40" s="1572"/>
      <c r="E40" s="358" t="s">
        <v>345</v>
      </c>
      <c r="F40" s="359">
        <f t="shared" si="3"/>
        <v>8500</v>
      </c>
      <c r="G40" s="359"/>
      <c r="H40" s="359"/>
      <c r="I40" s="359">
        <v>8500</v>
      </c>
      <c r="J40" s="360"/>
      <c r="K40" s="353"/>
    </row>
    <row r="41" spans="1:226" s="354" customFormat="1" ht="15" customHeight="1">
      <c r="A41" s="1547"/>
      <c r="B41" s="1548"/>
      <c r="C41" s="1570"/>
      <c r="D41" s="1572"/>
      <c r="E41" s="358" t="s">
        <v>346</v>
      </c>
      <c r="F41" s="359">
        <f t="shared" si="3"/>
        <v>1500</v>
      </c>
      <c r="G41" s="359">
        <v>1500</v>
      </c>
      <c r="H41" s="359"/>
      <c r="I41" s="359"/>
      <c r="J41" s="360"/>
      <c r="K41" s="353"/>
    </row>
    <row r="42" spans="1:226" s="354" customFormat="1" ht="15" customHeight="1">
      <c r="A42" s="1547"/>
      <c r="B42" s="1548"/>
      <c r="C42" s="1570"/>
      <c r="D42" s="1572"/>
      <c r="E42" s="358" t="s">
        <v>347</v>
      </c>
      <c r="F42" s="359">
        <f t="shared" si="3"/>
        <v>8500</v>
      </c>
      <c r="G42" s="359"/>
      <c r="H42" s="359"/>
      <c r="I42" s="359">
        <v>8500</v>
      </c>
      <c r="J42" s="360"/>
      <c r="K42" s="353"/>
    </row>
    <row r="43" spans="1:226" s="354" customFormat="1" ht="15" customHeight="1">
      <c r="A43" s="1547"/>
      <c r="B43" s="1548"/>
      <c r="C43" s="1570"/>
      <c r="D43" s="1572"/>
      <c r="E43" s="358" t="s">
        <v>348</v>
      </c>
      <c r="F43" s="359">
        <f>SUM(G43:J43)</f>
        <v>1500</v>
      </c>
      <c r="G43" s="359">
        <v>1500</v>
      </c>
      <c r="H43" s="359"/>
      <c r="I43" s="359"/>
      <c r="J43" s="360"/>
      <c r="K43" s="353"/>
    </row>
    <row r="44" spans="1:226" s="354" customFormat="1" ht="15" customHeight="1">
      <c r="A44" s="1547"/>
      <c r="B44" s="1548"/>
      <c r="C44" s="1570"/>
      <c r="D44" s="1572"/>
      <c r="E44" s="358" t="s">
        <v>349</v>
      </c>
      <c r="F44" s="359">
        <f t="shared" ref="F44:F45" si="4">SUM(G44:J44)</f>
        <v>12750</v>
      </c>
      <c r="G44" s="359"/>
      <c r="H44" s="359"/>
      <c r="I44" s="359">
        <v>12750</v>
      </c>
      <c r="J44" s="360"/>
      <c r="K44" s="353"/>
    </row>
    <row r="45" spans="1:226" s="354" customFormat="1" ht="15" customHeight="1">
      <c r="A45" s="1547"/>
      <c r="B45" s="1548"/>
      <c r="C45" s="1570"/>
      <c r="D45" s="1572"/>
      <c r="E45" s="358" t="s">
        <v>350</v>
      </c>
      <c r="F45" s="359">
        <f t="shared" si="4"/>
        <v>2250</v>
      </c>
      <c r="G45" s="359">
        <v>2250</v>
      </c>
      <c r="H45" s="359"/>
      <c r="I45" s="359"/>
      <c r="J45" s="360"/>
      <c r="K45" s="353"/>
    </row>
    <row r="46" spans="1:226" s="354" customFormat="1" ht="24.95" customHeight="1">
      <c r="A46" s="1547"/>
      <c r="B46" s="1548"/>
      <c r="C46" s="1570"/>
      <c r="D46" s="1572"/>
      <c r="E46" s="361" t="s">
        <v>318</v>
      </c>
      <c r="F46" s="356">
        <f>SUM(F47:F48)</f>
        <v>500000</v>
      </c>
      <c r="G46" s="356">
        <f>SUM(G47:G48)</f>
        <v>75000</v>
      </c>
      <c r="H46" s="356">
        <f>SUM(H47:H48)</f>
        <v>0</v>
      </c>
      <c r="I46" s="356">
        <f>SUM(I47:I48)</f>
        <v>425000</v>
      </c>
      <c r="J46" s="357">
        <f>SUM(J47:J48)</f>
        <v>0</v>
      </c>
      <c r="K46" s="353"/>
    </row>
    <row r="47" spans="1:226" s="354" customFormat="1" ht="15" customHeight="1">
      <c r="A47" s="1547"/>
      <c r="B47" s="1548"/>
      <c r="C47" s="1570"/>
      <c r="D47" s="1572"/>
      <c r="E47" s="358" t="s">
        <v>351</v>
      </c>
      <c r="F47" s="359">
        <f>SUM(G47:J47)</f>
        <v>425000</v>
      </c>
      <c r="G47" s="359"/>
      <c r="H47" s="359"/>
      <c r="I47" s="359">
        <v>425000</v>
      </c>
      <c r="J47" s="360"/>
      <c r="K47" s="353"/>
    </row>
    <row r="48" spans="1:226" s="354" customFormat="1" ht="15" customHeight="1">
      <c r="A48" s="1547"/>
      <c r="B48" s="1548"/>
      <c r="C48" s="1570"/>
      <c r="D48" s="1572"/>
      <c r="E48" s="396">
        <v>6059</v>
      </c>
      <c r="F48" s="359">
        <f>SUM(G48:J48)</f>
        <v>75000</v>
      </c>
      <c r="G48" s="359">
        <v>75000</v>
      </c>
      <c r="H48" s="359"/>
      <c r="I48" s="359"/>
      <c r="J48" s="360"/>
      <c r="K48" s="353"/>
    </row>
    <row r="49" spans="1:226" s="354" customFormat="1" ht="24.95" customHeight="1">
      <c r="A49" s="1556" t="s">
        <v>352</v>
      </c>
      <c r="B49" s="1559" t="s">
        <v>353</v>
      </c>
      <c r="C49" s="1562">
        <v>750</v>
      </c>
      <c r="D49" s="1565" t="s">
        <v>331</v>
      </c>
      <c r="E49" s="350" t="s">
        <v>315</v>
      </c>
      <c r="F49" s="351">
        <f>SUM(F50,F60)</f>
        <v>840000</v>
      </c>
      <c r="G49" s="351">
        <f>SUM(G50,G60)</f>
        <v>126000</v>
      </c>
      <c r="H49" s="351">
        <f>SUM(H50,H60)</f>
        <v>0</v>
      </c>
      <c r="I49" s="351">
        <f>SUM(I50,I60)</f>
        <v>714000</v>
      </c>
      <c r="J49" s="352">
        <f>SUM(J50,J60)</f>
        <v>0</v>
      </c>
      <c r="K49" s="353"/>
    </row>
    <row r="50" spans="1:226" s="354" customFormat="1" ht="24.95" customHeight="1">
      <c r="A50" s="1557"/>
      <c r="B50" s="1560"/>
      <c r="C50" s="1563"/>
      <c r="D50" s="1566"/>
      <c r="E50" s="355" t="s">
        <v>332</v>
      </c>
      <c r="F50" s="356">
        <f>SUM(F51,F55)</f>
        <v>840000</v>
      </c>
      <c r="G50" s="356">
        <f>SUM(G51,G55)</f>
        <v>126000</v>
      </c>
      <c r="H50" s="356">
        <f>SUM(H51,H55)</f>
        <v>0</v>
      </c>
      <c r="I50" s="356">
        <f>SUM(I51,I55)</f>
        <v>714000</v>
      </c>
      <c r="J50" s="357">
        <f>SUM(J51,J55)</f>
        <v>0</v>
      </c>
      <c r="K50" s="353"/>
    </row>
    <row r="51" spans="1:226" s="354" customFormat="1" ht="24.95" hidden="1" customHeight="1">
      <c r="A51" s="1557"/>
      <c r="B51" s="1560"/>
      <c r="C51" s="1563"/>
      <c r="D51" s="1566"/>
      <c r="E51" s="393" t="s">
        <v>333</v>
      </c>
      <c r="F51" s="394">
        <f>SUM(F52:F54)</f>
        <v>0</v>
      </c>
      <c r="G51" s="394">
        <f>SUM(G52:G54)</f>
        <v>0</v>
      </c>
      <c r="H51" s="394">
        <f>SUM(H52:H54)</f>
        <v>0</v>
      </c>
      <c r="I51" s="394">
        <f>SUM(I52:I54)</f>
        <v>0</v>
      </c>
      <c r="J51" s="395">
        <f>SUM(J52:J54)</f>
        <v>0</v>
      </c>
      <c r="K51" s="353"/>
    </row>
    <row r="52" spans="1:226" s="354" customFormat="1" ht="15" hidden="1" customHeight="1">
      <c r="A52" s="1557"/>
      <c r="B52" s="1560"/>
      <c r="C52" s="1563"/>
      <c r="D52" s="1566"/>
      <c r="E52" s="358"/>
      <c r="F52" s="359">
        <f>SUM(G52:J52)</f>
        <v>0</v>
      </c>
      <c r="G52" s="359"/>
      <c r="H52" s="359"/>
      <c r="I52" s="359"/>
      <c r="J52" s="360"/>
      <c r="K52" s="353"/>
    </row>
    <row r="53" spans="1:226" s="354" customFormat="1" ht="15" hidden="1" customHeight="1">
      <c r="A53" s="1557"/>
      <c r="B53" s="1560"/>
      <c r="C53" s="1563"/>
      <c r="D53" s="1566"/>
      <c r="E53" s="358"/>
      <c r="F53" s="359">
        <f>SUM(G53:J53)</f>
        <v>0</v>
      </c>
      <c r="G53" s="359"/>
      <c r="H53" s="359"/>
      <c r="I53" s="359"/>
      <c r="J53" s="360"/>
      <c r="K53" s="353"/>
    </row>
    <row r="54" spans="1:226" s="354" customFormat="1" ht="15" hidden="1" customHeight="1">
      <c r="A54" s="1557"/>
      <c r="B54" s="1560"/>
      <c r="C54" s="1563"/>
      <c r="D54" s="1566"/>
      <c r="E54" s="358"/>
      <c r="F54" s="359">
        <f>SUM(G54:J54)</f>
        <v>0</v>
      </c>
      <c r="G54" s="359"/>
      <c r="H54" s="359"/>
      <c r="I54" s="359"/>
      <c r="J54" s="360"/>
      <c r="K54" s="353"/>
    </row>
    <row r="55" spans="1:226" s="354" customFormat="1" ht="24.95" customHeight="1">
      <c r="A55" s="1557"/>
      <c r="B55" s="1560"/>
      <c r="C55" s="1563"/>
      <c r="D55" s="1566"/>
      <c r="E55" s="393" t="s">
        <v>338</v>
      </c>
      <c r="F55" s="394">
        <f>SUM(F56:F59)</f>
        <v>840000</v>
      </c>
      <c r="G55" s="394">
        <f>SUM(G56:G59)</f>
        <v>126000</v>
      </c>
      <c r="H55" s="394">
        <f>SUM(H56:H59)</f>
        <v>0</v>
      </c>
      <c r="I55" s="394">
        <f>SUM(I56:I59)</f>
        <v>714000</v>
      </c>
      <c r="J55" s="395">
        <f>SUM(J56:J59)</f>
        <v>0</v>
      </c>
      <c r="K55" s="353"/>
      <c r="L55" s="353"/>
      <c r="M55" s="353"/>
      <c r="N55" s="353"/>
      <c r="O55" s="353"/>
      <c r="P55" s="353"/>
      <c r="Q55" s="353"/>
      <c r="R55" s="353"/>
      <c r="S55" s="353"/>
      <c r="T55" s="353"/>
      <c r="U55" s="353"/>
      <c r="V55" s="353"/>
      <c r="W55" s="353"/>
      <c r="X55" s="353"/>
      <c r="Y55" s="353"/>
      <c r="Z55" s="353"/>
      <c r="AA55" s="353"/>
      <c r="AB55" s="353"/>
      <c r="AC55" s="353"/>
      <c r="AD55" s="353"/>
      <c r="AE55" s="353"/>
      <c r="AF55" s="353"/>
      <c r="AG55" s="353"/>
      <c r="AH55" s="353"/>
      <c r="AI55" s="353"/>
      <c r="AJ55" s="353"/>
      <c r="AK55" s="353"/>
      <c r="AL55" s="353"/>
      <c r="AM55" s="353"/>
      <c r="AN55" s="353"/>
      <c r="AO55" s="353"/>
      <c r="AP55" s="353"/>
      <c r="AQ55" s="353"/>
      <c r="AR55" s="353"/>
      <c r="AS55" s="353"/>
      <c r="AT55" s="353"/>
      <c r="AU55" s="353"/>
      <c r="AV55" s="353"/>
      <c r="AW55" s="353"/>
      <c r="AX55" s="353"/>
      <c r="AY55" s="353"/>
      <c r="AZ55" s="353"/>
      <c r="BA55" s="353"/>
      <c r="BB55" s="353"/>
      <c r="BC55" s="353"/>
      <c r="BD55" s="353"/>
      <c r="BE55" s="353"/>
      <c r="BF55" s="353"/>
      <c r="BG55" s="353"/>
      <c r="BH55" s="353"/>
      <c r="BI55" s="353"/>
      <c r="BJ55" s="353"/>
      <c r="BK55" s="353"/>
      <c r="BL55" s="353"/>
      <c r="BM55" s="353"/>
      <c r="BN55" s="353"/>
      <c r="BO55" s="353"/>
      <c r="BP55" s="353"/>
      <c r="BQ55" s="353"/>
      <c r="BR55" s="353"/>
      <c r="BS55" s="353"/>
      <c r="BT55" s="353"/>
      <c r="BU55" s="353"/>
      <c r="BV55" s="353"/>
      <c r="BW55" s="353"/>
      <c r="BX55" s="353"/>
      <c r="BY55" s="353"/>
      <c r="BZ55" s="353"/>
      <c r="CA55" s="353"/>
      <c r="CB55" s="353"/>
      <c r="CC55" s="353"/>
      <c r="CD55" s="353"/>
      <c r="CE55" s="353"/>
      <c r="CF55" s="353"/>
      <c r="CG55" s="353"/>
      <c r="CH55" s="353"/>
      <c r="CI55" s="353"/>
      <c r="CJ55" s="353"/>
      <c r="CK55" s="353"/>
      <c r="CL55" s="353"/>
      <c r="CM55" s="353"/>
      <c r="CN55" s="353"/>
      <c r="CO55" s="353"/>
      <c r="CP55" s="353"/>
      <c r="CQ55" s="353"/>
      <c r="CR55" s="353"/>
      <c r="CS55" s="353"/>
      <c r="CT55" s="353"/>
      <c r="CU55" s="353"/>
      <c r="CV55" s="353"/>
      <c r="CW55" s="353"/>
      <c r="CX55" s="353"/>
      <c r="CY55" s="353"/>
      <c r="CZ55" s="353"/>
      <c r="DA55" s="353"/>
      <c r="DB55" s="353"/>
      <c r="DC55" s="353"/>
      <c r="DD55" s="353"/>
      <c r="DE55" s="353"/>
      <c r="DF55" s="353"/>
      <c r="DG55" s="353"/>
      <c r="DH55" s="353"/>
      <c r="DI55" s="353"/>
      <c r="DJ55" s="353"/>
      <c r="DK55" s="353"/>
      <c r="DL55" s="353"/>
      <c r="DM55" s="353"/>
      <c r="DN55" s="353"/>
      <c r="DO55" s="353"/>
      <c r="DP55" s="353"/>
      <c r="DQ55" s="353"/>
      <c r="DR55" s="353"/>
      <c r="DS55" s="353"/>
      <c r="DT55" s="353"/>
      <c r="DU55" s="353"/>
      <c r="DV55" s="353"/>
      <c r="DW55" s="353"/>
      <c r="DX55" s="353"/>
      <c r="DY55" s="353"/>
      <c r="DZ55" s="353"/>
      <c r="EA55" s="353"/>
      <c r="EB55" s="353"/>
      <c r="EC55" s="353"/>
      <c r="ED55" s="353"/>
      <c r="EE55" s="353"/>
      <c r="EF55" s="353"/>
      <c r="EG55" s="353"/>
      <c r="EH55" s="353"/>
      <c r="EI55" s="353"/>
      <c r="EJ55" s="353"/>
      <c r="EK55" s="353"/>
      <c r="EL55" s="353"/>
      <c r="EM55" s="353"/>
      <c r="EN55" s="353"/>
      <c r="EO55" s="353"/>
      <c r="EP55" s="353"/>
      <c r="EQ55" s="353"/>
      <c r="ER55" s="353"/>
      <c r="ES55" s="353"/>
      <c r="ET55" s="353"/>
      <c r="EU55" s="353"/>
      <c r="EV55" s="353"/>
      <c r="EW55" s="353"/>
      <c r="EX55" s="353"/>
      <c r="EY55" s="353"/>
      <c r="EZ55" s="353"/>
      <c r="FA55" s="353"/>
      <c r="FB55" s="353"/>
      <c r="FC55" s="353"/>
      <c r="FD55" s="353"/>
      <c r="FE55" s="353"/>
      <c r="FF55" s="353"/>
      <c r="FG55" s="353"/>
      <c r="FH55" s="353"/>
      <c r="FI55" s="353"/>
      <c r="FJ55" s="353"/>
      <c r="FK55" s="353"/>
      <c r="FL55" s="353"/>
      <c r="FM55" s="353"/>
      <c r="FN55" s="353"/>
      <c r="FO55" s="353"/>
      <c r="FP55" s="353"/>
      <c r="FQ55" s="353"/>
      <c r="FR55" s="353"/>
      <c r="FS55" s="353"/>
      <c r="FT55" s="353"/>
      <c r="FU55" s="353"/>
      <c r="FV55" s="353"/>
      <c r="FW55" s="353"/>
      <c r="FX55" s="353"/>
      <c r="FY55" s="353"/>
      <c r="FZ55" s="353"/>
      <c r="GA55" s="353"/>
      <c r="GB55" s="353"/>
      <c r="GC55" s="353"/>
      <c r="GD55" s="353"/>
      <c r="GE55" s="353"/>
      <c r="GF55" s="353"/>
      <c r="GG55" s="353"/>
      <c r="GH55" s="353"/>
      <c r="GI55" s="353"/>
      <c r="GJ55" s="353"/>
      <c r="GK55" s="353"/>
      <c r="GL55" s="353"/>
      <c r="GM55" s="353"/>
      <c r="GN55" s="353"/>
      <c r="GO55" s="353"/>
      <c r="GP55" s="353"/>
      <c r="GQ55" s="353"/>
      <c r="GR55" s="353"/>
      <c r="GS55" s="353"/>
      <c r="GT55" s="353"/>
      <c r="GU55" s="353"/>
      <c r="GV55" s="353"/>
      <c r="GW55" s="353"/>
      <c r="GX55" s="353"/>
      <c r="GY55" s="353"/>
      <c r="GZ55" s="353"/>
      <c r="HA55" s="353"/>
      <c r="HB55" s="353"/>
      <c r="HC55" s="353"/>
      <c r="HD55" s="353"/>
      <c r="HE55" s="353"/>
      <c r="HF55" s="353"/>
      <c r="HG55" s="353"/>
      <c r="HH55" s="353"/>
      <c r="HI55" s="353"/>
      <c r="HJ55" s="353"/>
      <c r="HK55" s="353"/>
      <c r="HL55" s="353"/>
      <c r="HM55" s="353"/>
      <c r="HN55" s="353"/>
      <c r="HO55" s="353"/>
      <c r="HP55" s="353"/>
      <c r="HQ55" s="353"/>
      <c r="HR55" s="353"/>
    </row>
    <row r="56" spans="1:226" s="354" customFormat="1" ht="15" customHeight="1">
      <c r="A56" s="1557"/>
      <c r="B56" s="1560"/>
      <c r="C56" s="1563"/>
      <c r="D56" s="1566"/>
      <c r="E56" s="358" t="s">
        <v>341</v>
      </c>
      <c r="F56" s="359">
        <f>SUM(G56:J56)</f>
        <v>42500</v>
      </c>
      <c r="G56" s="359"/>
      <c r="H56" s="359"/>
      <c r="I56" s="359">
        <v>42500</v>
      </c>
      <c r="J56" s="360"/>
      <c r="K56" s="353"/>
    </row>
    <row r="57" spans="1:226" s="354" customFormat="1" ht="15" customHeight="1">
      <c r="A57" s="1557"/>
      <c r="B57" s="1560"/>
      <c r="C57" s="1563"/>
      <c r="D57" s="1566"/>
      <c r="E57" s="358" t="s">
        <v>342</v>
      </c>
      <c r="F57" s="359">
        <f>SUM(G57:J57)</f>
        <v>7500</v>
      </c>
      <c r="G57" s="359">
        <v>7500</v>
      </c>
      <c r="H57" s="359"/>
      <c r="I57" s="359"/>
      <c r="J57" s="360"/>
      <c r="K57" s="353"/>
    </row>
    <row r="58" spans="1:226" s="354" customFormat="1" ht="15" customHeight="1">
      <c r="A58" s="1557"/>
      <c r="B58" s="1560"/>
      <c r="C58" s="1563"/>
      <c r="D58" s="1566"/>
      <c r="E58" s="358" t="s">
        <v>354</v>
      </c>
      <c r="F58" s="359">
        <f>SUM(G58:J58)</f>
        <v>671500</v>
      </c>
      <c r="G58" s="359"/>
      <c r="H58" s="359"/>
      <c r="I58" s="359">
        <v>671500</v>
      </c>
      <c r="J58" s="360"/>
      <c r="K58" s="353"/>
    </row>
    <row r="59" spans="1:226" s="354" customFormat="1" ht="15" customHeight="1">
      <c r="A59" s="1557"/>
      <c r="B59" s="1560"/>
      <c r="C59" s="1563"/>
      <c r="D59" s="1566"/>
      <c r="E59" s="358" t="s">
        <v>355</v>
      </c>
      <c r="F59" s="359">
        <f>SUM(G59:J59)</f>
        <v>118500</v>
      </c>
      <c r="G59" s="359">
        <v>118500</v>
      </c>
      <c r="H59" s="359"/>
      <c r="I59" s="359"/>
      <c r="J59" s="360"/>
      <c r="K59" s="353"/>
    </row>
    <row r="60" spans="1:226" s="354" customFormat="1" ht="19.5" customHeight="1">
      <c r="A60" s="1558"/>
      <c r="B60" s="1561"/>
      <c r="C60" s="1564"/>
      <c r="D60" s="1567"/>
      <c r="E60" s="361" t="s">
        <v>318</v>
      </c>
      <c r="F60" s="356">
        <f>SUM(F61:F61)</f>
        <v>0</v>
      </c>
      <c r="G60" s="356">
        <f>SUM(G61:G61)</f>
        <v>0</v>
      </c>
      <c r="H60" s="356">
        <f>SUM(H61:H61)</f>
        <v>0</v>
      </c>
      <c r="I60" s="356">
        <f>SUM(I61:I61)</f>
        <v>0</v>
      </c>
      <c r="J60" s="357">
        <f>SUM(J61:J61)</f>
        <v>0</v>
      </c>
      <c r="K60" s="353"/>
    </row>
    <row r="61" spans="1:226" s="354" customFormat="1" ht="15" hidden="1" customHeight="1">
      <c r="A61" s="397"/>
      <c r="B61" s="398"/>
      <c r="C61" s="399"/>
      <c r="D61" s="400"/>
      <c r="E61" s="401"/>
      <c r="F61" s="402">
        <f>SUM(G61:J61)</f>
        <v>0</v>
      </c>
      <c r="G61" s="402"/>
      <c r="H61" s="402"/>
      <c r="I61" s="402"/>
      <c r="J61" s="403"/>
      <c r="K61" s="353"/>
    </row>
    <row r="62" spans="1:226" s="354" customFormat="1" ht="24.95" customHeight="1">
      <c r="A62" s="1547" t="s">
        <v>356</v>
      </c>
      <c r="B62" s="1548" t="s">
        <v>357</v>
      </c>
      <c r="C62" s="1570">
        <v>750</v>
      </c>
      <c r="D62" s="1572" t="s">
        <v>331</v>
      </c>
      <c r="E62" s="350" t="s">
        <v>315</v>
      </c>
      <c r="F62" s="351">
        <f>SUM(F63,F77)</f>
        <v>191000</v>
      </c>
      <c r="G62" s="351">
        <f>SUM(G63,G77)</f>
        <v>28650</v>
      </c>
      <c r="H62" s="351">
        <f>SUM(H63,H77)</f>
        <v>0</v>
      </c>
      <c r="I62" s="351">
        <f>SUM(I63,I77)</f>
        <v>162350</v>
      </c>
      <c r="J62" s="352">
        <f>SUM(J63,J77)</f>
        <v>0</v>
      </c>
      <c r="K62" s="353"/>
    </row>
    <row r="63" spans="1:226" s="354" customFormat="1" ht="24.95" customHeight="1">
      <c r="A63" s="1547"/>
      <c r="B63" s="1548"/>
      <c r="C63" s="1570"/>
      <c r="D63" s="1572"/>
      <c r="E63" s="355" t="s">
        <v>332</v>
      </c>
      <c r="F63" s="356">
        <f>SUM(F64,F68)</f>
        <v>191000</v>
      </c>
      <c r="G63" s="356">
        <f>SUM(G64,G68)</f>
        <v>28650</v>
      </c>
      <c r="H63" s="356">
        <f>SUM(H64,H68)</f>
        <v>0</v>
      </c>
      <c r="I63" s="356">
        <f>SUM(I64,I68)</f>
        <v>162350</v>
      </c>
      <c r="J63" s="357">
        <f>SUM(J64,J68)</f>
        <v>0</v>
      </c>
      <c r="K63" s="353"/>
    </row>
    <row r="64" spans="1:226" s="354" customFormat="1" ht="24.95" hidden="1" customHeight="1">
      <c r="A64" s="1547"/>
      <c r="B64" s="1548"/>
      <c r="C64" s="1570"/>
      <c r="D64" s="1572"/>
      <c r="E64" s="393" t="s">
        <v>333</v>
      </c>
      <c r="F64" s="394">
        <f>SUM(F65:F67)</f>
        <v>0</v>
      </c>
      <c r="G64" s="394">
        <f>SUM(G65:G67)</f>
        <v>0</v>
      </c>
      <c r="H64" s="394">
        <f>SUM(H65:H67)</f>
        <v>0</v>
      </c>
      <c r="I64" s="394">
        <f>SUM(I65:I67)</f>
        <v>0</v>
      </c>
      <c r="J64" s="395">
        <f>SUM(J65:J67)</f>
        <v>0</v>
      </c>
      <c r="K64" s="353"/>
    </row>
    <row r="65" spans="1:226" s="354" customFormat="1" ht="15" hidden="1" customHeight="1">
      <c r="A65" s="1547"/>
      <c r="B65" s="1548"/>
      <c r="C65" s="1570"/>
      <c r="D65" s="1572"/>
      <c r="E65" s="358"/>
      <c r="F65" s="359">
        <f>SUM(G65:J65)</f>
        <v>0</v>
      </c>
      <c r="G65" s="359"/>
      <c r="H65" s="359"/>
      <c r="I65" s="359"/>
      <c r="J65" s="360"/>
      <c r="K65" s="353"/>
    </row>
    <row r="66" spans="1:226" s="354" customFormat="1" ht="15" hidden="1" customHeight="1">
      <c r="A66" s="1547"/>
      <c r="B66" s="1548"/>
      <c r="C66" s="1570"/>
      <c r="D66" s="1572"/>
      <c r="E66" s="358"/>
      <c r="F66" s="359">
        <f>SUM(G66:J66)</f>
        <v>0</v>
      </c>
      <c r="G66" s="359"/>
      <c r="H66" s="359"/>
      <c r="I66" s="359"/>
      <c r="J66" s="360"/>
      <c r="K66" s="353"/>
    </row>
    <row r="67" spans="1:226" s="354" customFormat="1" ht="15" hidden="1" customHeight="1">
      <c r="A67" s="1547"/>
      <c r="B67" s="1548"/>
      <c r="C67" s="1570"/>
      <c r="D67" s="1572"/>
      <c r="E67" s="358"/>
      <c r="F67" s="359">
        <f>SUM(G67:J67)</f>
        <v>0</v>
      </c>
      <c r="G67" s="359"/>
      <c r="H67" s="359"/>
      <c r="I67" s="359"/>
      <c r="J67" s="360"/>
      <c r="K67" s="353"/>
    </row>
    <row r="68" spans="1:226" s="354" customFormat="1" ht="24.95" customHeight="1">
      <c r="A68" s="1547"/>
      <c r="B68" s="1548"/>
      <c r="C68" s="1570"/>
      <c r="D68" s="1572"/>
      <c r="E68" s="393" t="s">
        <v>338</v>
      </c>
      <c r="F68" s="394">
        <f>SUM(F69:F76)</f>
        <v>191000</v>
      </c>
      <c r="G68" s="394">
        <f>SUM(G69:G76)</f>
        <v>28650</v>
      </c>
      <c r="H68" s="394">
        <f>SUM(H69:H76)</f>
        <v>0</v>
      </c>
      <c r="I68" s="394">
        <f>SUM(I69:I76)</f>
        <v>162350</v>
      </c>
      <c r="J68" s="395">
        <f>SUM(J69:J76)</f>
        <v>0</v>
      </c>
      <c r="K68" s="353"/>
      <c r="L68" s="353"/>
      <c r="M68" s="353"/>
      <c r="N68" s="353"/>
      <c r="O68" s="353"/>
      <c r="P68" s="353"/>
      <c r="Q68" s="353"/>
      <c r="R68" s="353"/>
      <c r="S68" s="353"/>
      <c r="T68" s="353"/>
      <c r="U68" s="353"/>
      <c r="V68" s="353"/>
      <c r="W68" s="353"/>
      <c r="X68" s="353"/>
      <c r="Y68" s="353"/>
      <c r="Z68" s="353"/>
      <c r="AA68" s="353"/>
      <c r="AB68" s="353"/>
      <c r="AC68" s="353"/>
      <c r="AD68" s="353"/>
      <c r="AE68" s="353"/>
      <c r="AF68" s="353"/>
      <c r="AG68" s="353"/>
      <c r="AH68" s="353"/>
      <c r="AI68" s="353"/>
      <c r="AJ68" s="353"/>
      <c r="AK68" s="353"/>
      <c r="AL68" s="353"/>
      <c r="AM68" s="353"/>
      <c r="AN68" s="353"/>
      <c r="AO68" s="353"/>
      <c r="AP68" s="353"/>
      <c r="AQ68" s="353"/>
      <c r="AR68" s="353"/>
      <c r="AS68" s="353"/>
      <c r="AT68" s="353"/>
      <c r="AU68" s="353"/>
      <c r="AV68" s="353"/>
      <c r="AW68" s="353"/>
      <c r="AX68" s="353"/>
      <c r="AY68" s="353"/>
      <c r="AZ68" s="353"/>
      <c r="BA68" s="353"/>
      <c r="BB68" s="353"/>
      <c r="BC68" s="353"/>
      <c r="BD68" s="353"/>
      <c r="BE68" s="353"/>
      <c r="BF68" s="353"/>
      <c r="BG68" s="353"/>
      <c r="BH68" s="353"/>
      <c r="BI68" s="353"/>
      <c r="BJ68" s="353"/>
      <c r="BK68" s="353"/>
      <c r="BL68" s="353"/>
      <c r="BM68" s="353"/>
      <c r="BN68" s="353"/>
      <c r="BO68" s="353"/>
      <c r="BP68" s="353"/>
      <c r="BQ68" s="353"/>
      <c r="BR68" s="353"/>
      <c r="BS68" s="353"/>
      <c r="BT68" s="353"/>
      <c r="BU68" s="353"/>
      <c r="BV68" s="353"/>
      <c r="BW68" s="353"/>
      <c r="BX68" s="353"/>
      <c r="BY68" s="353"/>
      <c r="BZ68" s="353"/>
      <c r="CA68" s="353"/>
      <c r="CB68" s="353"/>
      <c r="CC68" s="353"/>
      <c r="CD68" s="353"/>
      <c r="CE68" s="353"/>
      <c r="CF68" s="353"/>
      <c r="CG68" s="353"/>
      <c r="CH68" s="353"/>
      <c r="CI68" s="353"/>
      <c r="CJ68" s="353"/>
      <c r="CK68" s="353"/>
      <c r="CL68" s="353"/>
      <c r="CM68" s="353"/>
      <c r="CN68" s="353"/>
      <c r="CO68" s="353"/>
      <c r="CP68" s="353"/>
      <c r="CQ68" s="353"/>
      <c r="CR68" s="353"/>
      <c r="CS68" s="353"/>
      <c r="CT68" s="353"/>
      <c r="CU68" s="353"/>
      <c r="CV68" s="353"/>
      <c r="CW68" s="353"/>
      <c r="CX68" s="353"/>
      <c r="CY68" s="353"/>
      <c r="CZ68" s="353"/>
      <c r="DA68" s="353"/>
      <c r="DB68" s="353"/>
      <c r="DC68" s="353"/>
      <c r="DD68" s="353"/>
      <c r="DE68" s="353"/>
      <c r="DF68" s="353"/>
      <c r="DG68" s="353"/>
      <c r="DH68" s="353"/>
      <c r="DI68" s="353"/>
      <c r="DJ68" s="353"/>
      <c r="DK68" s="353"/>
      <c r="DL68" s="353"/>
      <c r="DM68" s="353"/>
      <c r="DN68" s="353"/>
      <c r="DO68" s="353"/>
      <c r="DP68" s="353"/>
      <c r="DQ68" s="353"/>
      <c r="DR68" s="353"/>
      <c r="DS68" s="353"/>
      <c r="DT68" s="353"/>
      <c r="DU68" s="353"/>
      <c r="DV68" s="353"/>
      <c r="DW68" s="353"/>
      <c r="DX68" s="353"/>
      <c r="DY68" s="353"/>
      <c r="DZ68" s="353"/>
      <c r="EA68" s="353"/>
      <c r="EB68" s="353"/>
      <c r="EC68" s="353"/>
      <c r="ED68" s="353"/>
      <c r="EE68" s="353"/>
      <c r="EF68" s="353"/>
      <c r="EG68" s="353"/>
      <c r="EH68" s="353"/>
      <c r="EI68" s="353"/>
      <c r="EJ68" s="353"/>
      <c r="EK68" s="353"/>
      <c r="EL68" s="353"/>
      <c r="EM68" s="353"/>
      <c r="EN68" s="353"/>
      <c r="EO68" s="353"/>
      <c r="EP68" s="353"/>
      <c r="EQ68" s="353"/>
      <c r="ER68" s="353"/>
      <c r="ES68" s="353"/>
      <c r="ET68" s="353"/>
      <c r="EU68" s="353"/>
      <c r="EV68" s="353"/>
      <c r="EW68" s="353"/>
      <c r="EX68" s="353"/>
      <c r="EY68" s="353"/>
      <c r="EZ68" s="353"/>
      <c r="FA68" s="353"/>
      <c r="FB68" s="353"/>
      <c r="FC68" s="353"/>
      <c r="FD68" s="353"/>
      <c r="FE68" s="353"/>
      <c r="FF68" s="353"/>
      <c r="FG68" s="353"/>
      <c r="FH68" s="353"/>
      <c r="FI68" s="353"/>
      <c r="FJ68" s="353"/>
      <c r="FK68" s="353"/>
      <c r="FL68" s="353"/>
      <c r="FM68" s="353"/>
      <c r="FN68" s="353"/>
      <c r="FO68" s="353"/>
      <c r="FP68" s="353"/>
      <c r="FQ68" s="353"/>
      <c r="FR68" s="353"/>
      <c r="FS68" s="353"/>
      <c r="FT68" s="353"/>
      <c r="FU68" s="353"/>
      <c r="FV68" s="353"/>
      <c r="FW68" s="353"/>
      <c r="FX68" s="353"/>
      <c r="FY68" s="353"/>
      <c r="FZ68" s="353"/>
      <c r="GA68" s="353"/>
      <c r="GB68" s="353"/>
      <c r="GC68" s="353"/>
      <c r="GD68" s="353"/>
      <c r="GE68" s="353"/>
      <c r="GF68" s="353"/>
      <c r="GG68" s="353"/>
      <c r="GH68" s="353"/>
      <c r="GI68" s="353"/>
      <c r="GJ68" s="353"/>
      <c r="GK68" s="353"/>
      <c r="GL68" s="353"/>
      <c r="GM68" s="353"/>
      <c r="GN68" s="353"/>
      <c r="GO68" s="353"/>
      <c r="GP68" s="353"/>
      <c r="GQ68" s="353"/>
      <c r="GR68" s="353"/>
      <c r="GS68" s="353"/>
      <c r="GT68" s="353"/>
      <c r="GU68" s="353"/>
      <c r="GV68" s="353"/>
      <c r="GW68" s="353"/>
      <c r="GX68" s="353"/>
      <c r="GY68" s="353"/>
      <c r="GZ68" s="353"/>
      <c r="HA68" s="353"/>
      <c r="HB68" s="353"/>
      <c r="HC68" s="353"/>
      <c r="HD68" s="353"/>
      <c r="HE68" s="353"/>
      <c r="HF68" s="353"/>
      <c r="HG68" s="353"/>
      <c r="HH68" s="353"/>
      <c r="HI68" s="353"/>
      <c r="HJ68" s="353"/>
      <c r="HK68" s="353"/>
      <c r="HL68" s="353"/>
      <c r="HM68" s="353"/>
      <c r="HN68" s="353"/>
      <c r="HO68" s="353"/>
      <c r="HP68" s="353"/>
      <c r="HQ68" s="353"/>
      <c r="HR68" s="353"/>
    </row>
    <row r="69" spans="1:226" s="354" customFormat="1" ht="15" customHeight="1">
      <c r="A69" s="1547"/>
      <c r="B69" s="1548"/>
      <c r="C69" s="1570"/>
      <c r="D69" s="1572"/>
      <c r="E69" s="358" t="s">
        <v>358</v>
      </c>
      <c r="F69" s="359">
        <f>SUM(G69:J69)</f>
        <v>14960</v>
      </c>
      <c r="G69" s="359"/>
      <c r="H69" s="359"/>
      <c r="I69" s="359">
        <v>14960</v>
      </c>
      <c r="J69" s="360"/>
      <c r="K69" s="353"/>
    </row>
    <row r="70" spans="1:226" s="354" customFormat="1" ht="15" customHeight="1">
      <c r="A70" s="1547"/>
      <c r="B70" s="1548"/>
      <c r="C70" s="1570"/>
      <c r="D70" s="1572"/>
      <c r="E70" s="358" t="s">
        <v>359</v>
      </c>
      <c r="F70" s="359">
        <f t="shared" ref="F70:F74" si="5">SUM(G70:J70)</f>
        <v>2640</v>
      </c>
      <c r="G70" s="359">
        <v>2640</v>
      </c>
      <c r="H70" s="359"/>
      <c r="I70" s="359"/>
      <c r="J70" s="360"/>
      <c r="K70" s="353"/>
    </row>
    <row r="71" spans="1:226" s="354" customFormat="1" ht="15" customHeight="1">
      <c r="A71" s="1547"/>
      <c r="B71" s="1548"/>
      <c r="C71" s="1570"/>
      <c r="D71" s="1572"/>
      <c r="E71" s="358" t="s">
        <v>341</v>
      </c>
      <c r="F71" s="359">
        <f t="shared" si="5"/>
        <v>108800</v>
      </c>
      <c r="G71" s="359"/>
      <c r="H71" s="359"/>
      <c r="I71" s="359">
        <v>108800</v>
      </c>
      <c r="J71" s="360"/>
      <c r="K71" s="353"/>
    </row>
    <row r="72" spans="1:226" s="354" customFormat="1" ht="15" customHeight="1">
      <c r="A72" s="1547"/>
      <c r="B72" s="1548"/>
      <c r="C72" s="1570"/>
      <c r="D72" s="1572"/>
      <c r="E72" s="358" t="s">
        <v>342</v>
      </c>
      <c r="F72" s="359">
        <f t="shared" si="5"/>
        <v>19200</v>
      </c>
      <c r="G72" s="359">
        <v>19200</v>
      </c>
      <c r="H72" s="359"/>
      <c r="I72" s="359"/>
      <c r="J72" s="360"/>
      <c r="K72" s="353"/>
    </row>
    <row r="73" spans="1:226" s="354" customFormat="1" ht="15" customHeight="1">
      <c r="A73" s="1547"/>
      <c r="B73" s="1548"/>
      <c r="C73" s="1570"/>
      <c r="D73" s="1572"/>
      <c r="E73" s="358" t="s">
        <v>343</v>
      </c>
      <c r="F73" s="359">
        <f t="shared" si="5"/>
        <v>6290</v>
      </c>
      <c r="G73" s="359"/>
      <c r="H73" s="359"/>
      <c r="I73" s="359">
        <v>6290</v>
      </c>
      <c r="J73" s="360"/>
      <c r="K73" s="353"/>
    </row>
    <row r="74" spans="1:226" s="354" customFormat="1" ht="15" customHeight="1">
      <c r="A74" s="1547"/>
      <c r="B74" s="1548"/>
      <c r="C74" s="1570"/>
      <c r="D74" s="1572"/>
      <c r="E74" s="358" t="s">
        <v>344</v>
      </c>
      <c r="F74" s="359">
        <f t="shared" si="5"/>
        <v>1110</v>
      </c>
      <c r="G74" s="359">
        <v>1110</v>
      </c>
      <c r="H74" s="359"/>
      <c r="I74" s="359"/>
      <c r="J74" s="360"/>
      <c r="K74" s="353"/>
    </row>
    <row r="75" spans="1:226" s="354" customFormat="1" ht="15" customHeight="1">
      <c r="A75" s="1547"/>
      <c r="B75" s="1548"/>
      <c r="C75" s="1570"/>
      <c r="D75" s="1572"/>
      <c r="E75" s="358" t="s">
        <v>354</v>
      </c>
      <c r="F75" s="359">
        <f>SUM(G75:J75)</f>
        <v>32300</v>
      </c>
      <c r="G75" s="359"/>
      <c r="H75" s="359"/>
      <c r="I75" s="359">
        <v>32300</v>
      </c>
      <c r="J75" s="360"/>
      <c r="K75" s="353"/>
    </row>
    <row r="76" spans="1:226" s="354" customFormat="1" ht="15" customHeight="1">
      <c r="A76" s="1547"/>
      <c r="B76" s="1548"/>
      <c r="C76" s="1570"/>
      <c r="D76" s="1572"/>
      <c r="E76" s="358" t="s">
        <v>355</v>
      </c>
      <c r="F76" s="359">
        <f>SUM(G76:J76)</f>
        <v>5700</v>
      </c>
      <c r="G76" s="359">
        <v>5700</v>
      </c>
      <c r="H76" s="359"/>
      <c r="I76" s="359"/>
      <c r="J76" s="360"/>
      <c r="K76" s="353"/>
    </row>
    <row r="77" spans="1:226" s="354" customFormat="1" ht="18.75" customHeight="1">
      <c r="A77" s="1547"/>
      <c r="B77" s="1548"/>
      <c r="C77" s="1570"/>
      <c r="D77" s="1572"/>
      <c r="E77" s="361" t="s">
        <v>318</v>
      </c>
      <c r="F77" s="356">
        <f>SUM(F78:F79)</f>
        <v>0</v>
      </c>
      <c r="G77" s="356">
        <f>SUM(G78:G79)</f>
        <v>0</v>
      </c>
      <c r="H77" s="356">
        <f>SUM(H78:H79)</f>
        <v>0</v>
      </c>
      <c r="I77" s="356">
        <f>SUM(I78:I79)</f>
        <v>0</v>
      </c>
      <c r="J77" s="357">
        <f>SUM(J78:J79)</f>
        <v>0</v>
      </c>
      <c r="K77" s="353"/>
    </row>
    <row r="78" spans="1:226" s="354" customFormat="1" ht="15" hidden="1" customHeight="1">
      <c r="A78" s="1547"/>
      <c r="B78" s="1548"/>
      <c r="C78" s="1570"/>
      <c r="D78" s="1572"/>
      <c r="E78" s="358"/>
      <c r="F78" s="359">
        <f>SUM(G78:J78)</f>
        <v>0</v>
      </c>
      <c r="G78" s="359"/>
      <c r="H78" s="359"/>
      <c r="I78" s="359"/>
      <c r="J78" s="360"/>
      <c r="K78" s="353"/>
    </row>
    <row r="79" spans="1:226" s="354" customFormat="1" ht="15" hidden="1" customHeight="1">
      <c r="A79" s="1547"/>
      <c r="B79" s="1548"/>
      <c r="C79" s="1570"/>
      <c r="D79" s="1572"/>
      <c r="E79" s="396"/>
      <c r="F79" s="359">
        <f>SUM(G79:J79)</f>
        <v>0</v>
      </c>
      <c r="G79" s="359"/>
      <c r="H79" s="359"/>
      <c r="I79" s="359"/>
      <c r="J79" s="360"/>
      <c r="K79" s="353"/>
    </row>
    <row r="80" spans="1:226" s="354" customFormat="1" ht="21.75" customHeight="1">
      <c r="A80" s="1556" t="s">
        <v>360</v>
      </c>
      <c r="B80" s="1580" t="s">
        <v>361</v>
      </c>
      <c r="C80" s="1562">
        <v>750</v>
      </c>
      <c r="D80" s="1565" t="s">
        <v>331</v>
      </c>
      <c r="E80" s="350" t="s">
        <v>315</v>
      </c>
      <c r="F80" s="351">
        <f>SUM(F81,F94)</f>
        <v>26899998</v>
      </c>
      <c r="G80" s="351">
        <f>SUM(G81,G94)</f>
        <v>4035001</v>
      </c>
      <c r="H80" s="351">
        <f>SUM(H81,H94)</f>
        <v>0</v>
      </c>
      <c r="I80" s="351">
        <f>SUM(I81,I94)</f>
        <v>22864997</v>
      </c>
      <c r="J80" s="352">
        <f>SUM(J81,J94)</f>
        <v>0</v>
      </c>
      <c r="K80" s="353"/>
    </row>
    <row r="81" spans="1:226" s="354" customFormat="1" ht="24.95" customHeight="1">
      <c r="A81" s="1557"/>
      <c r="B81" s="1581"/>
      <c r="C81" s="1563"/>
      <c r="D81" s="1566"/>
      <c r="E81" s="355" t="s">
        <v>332</v>
      </c>
      <c r="F81" s="356">
        <f>SUM(F82,F91)</f>
        <v>26899998</v>
      </c>
      <c r="G81" s="356">
        <f>SUM(G82,G91)</f>
        <v>4035001</v>
      </c>
      <c r="H81" s="356">
        <f>SUM(H82,H91)</f>
        <v>0</v>
      </c>
      <c r="I81" s="356">
        <f>SUM(I82,I91)</f>
        <v>22864997</v>
      </c>
      <c r="J81" s="357">
        <f>SUM(J82,J91)</f>
        <v>0</v>
      </c>
      <c r="K81" s="353"/>
    </row>
    <row r="82" spans="1:226" s="354" customFormat="1" ht="24.95" customHeight="1">
      <c r="A82" s="1557"/>
      <c r="B82" s="1581"/>
      <c r="C82" s="1563"/>
      <c r="D82" s="1566"/>
      <c r="E82" s="393" t="s">
        <v>333</v>
      </c>
      <c r="F82" s="394">
        <f>SUM(F83:F90)</f>
        <v>26899998</v>
      </c>
      <c r="G82" s="394">
        <f t="shared" ref="G82:J82" si="6">SUM(G83:G90)</f>
        <v>4035001</v>
      </c>
      <c r="H82" s="394">
        <f t="shared" si="6"/>
        <v>0</v>
      </c>
      <c r="I82" s="394">
        <f t="shared" si="6"/>
        <v>22864997</v>
      </c>
      <c r="J82" s="395">
        <f t="shared" si="6"/>
        <v>0</v>
      </c>
      <c r="K82" s="404"/>
    </row>
    <row r="83" spans="1:226" s="354" customFormat="1" ht="15" customHeight="1">
      <c r="A83" s="1557"/>
      <c r="B83" s="1581"/>
      <c r="C83" s="1563"/>
      <c r="D83" s="1566"/>
      <c r="E83" s="358" t="s">
        <v>362</v>
      </c>
      <c r="F83" s="359">
        <f>SUM(G83:J83)</f>
        <v>18015923</v>
      </c>
      <c r="G83" s="359"/>
      <c r="H83" s="359"/>
      <c r="I83" s="359">
        <v>18015923</v>
      </c>
      <c r="J83" s="360"/>
      <c r="K83" s="353"/>
    </row>
    <row r="84" spans="1:226" s="354" customFormat="1" ht="15" customHeight="1">
      <c r="A84" s="1557"/>
      <c r="B84" s="1581"/>
      <c r="C84" s="1563"/>
      <c r="D84" s="1566"/>
      <c r="E84" s="358" t="s">
        <v>363</v>
      </c>
      <c r="F84" s="359">
        <f t="shared" ref="F84:F90" si="7">SUM(G84:J84)</f>
        <v>3179281</v>
      </c>
      <c r="G84" s="359">
        <v>3179281</v>
      </c>
      <c r="H84" s="359"/>
      <c r="I84" s="359"/>
      <c r="J84" s="360"/>
      <c r="K84" s="353"/>
    </row>
    <row r="85" spans="1:226" s="354" customFormat="1" ht="15" customHeight="1">
      <c r="A85" s="1557"/>
      <c r="B85" s="1581"/>
      <c r="C85" s="1563"/>
      <c r="D85" s="1566"/>
      <c r="E85" s="358" t="s">
        <v>364</v>
      </c>
      <c r="F85" s="359">
        <f t="shared" si="7"/>
        <v>1065275</v>
      </c>
      <c r="G85" s="359"/>
      <c r="H85" s="359"/>
      <c r="I85" s="359">
        <v>1065275</v>
      </c>
      <c r="J85" s="360"/>
      <c r="K85" s="353"/>
    </row>
    <row r="86" spans="1:226" s="354" customFormat="1" ht="15" customHeight="1">
      <c r="A86" s="1557"/>
      <c r="B86" s="1581"/>
      <c r="C86" s="1563"/>
      <c r="D86" s="1566"/>
      <c r="E86" s="358" t="s">
        <v>365</v>
      </c>
      <c r="F86" s="359">
        <f t="shared" si="7"/>
        <v>187990</v>
      </c>
      <c r="G86" s="359">
        <v>187990</v>
      </c>
      <c r="H86" s="359"/>
      <c r="I86" s="359"/>
      <c r="J86" s="360"/>
      <c r="K86" s="353"/>
    </row>
    <row r="87" spans="1:226" s="354" customFormat="1" ht="15" customHeight="1">
      <c r="A87" s="1557"/>
      <c r="B87" s="1581"/>
      <c r="C87" s="1563"/>
      <c r="D87" s="1566"/>
      <c r="E87" s="358" t="s">
        <v>334</v>
      </c>
      <c r="F87" s="359">
        <f t="shared" si="7"/>
        <v>3316311</v>
      </c>
      <c r="G87" s="359"/>
      <c r="H87" s="359"/>
      <c r="I87" s="359">
        <v>3316311</v>
      </c>
      <c r="J87" s="360"/>
      <c r="K87" s="353"/>
    </row>
    <row r="88" spans="1:226" s="354" customFormat="1" ht="15" customHeight="1">
      <c r="A88" s="1557"/>
      <c r="B88" s="1581"/>
      <c r="C88" s="1563"/>
      <c r="D88" s="1566"/>
      <c r="E88" s="358" t="s">
        <v>335</v>
      </c>
      <c r="F88" s="359">
        <f t="shared" si="7"/>
        <v>585232</v>
      </c>
      <c r="G88" s="359">
        <v>585232</v>
      </c>
      <c r="H88" s="359"/>
      <c r="I88" s="359"/>
      <c r="J88" s="360"/>
      <c r="K88" s="353"/>
    </row>
    <row r="89" spans="1:226" s="354" customFormat="1" ht="15" customHeight="1">
      <c r="A89" s="1557"/>
      <c r="B89" s="1581"/>
      <c r="C89" s="1563"/>
      <c r="D89" s="1566"/>
      <c r="E89" s="358" t="s">
        <v>366</v>
      </c>
      <c r="F89" s="359">
        <f t="shared" si="7"/>
        <v>467488</v>
      </c>
      <c r="G89" s="359"/>
      <c r="H89" s="359"/>
      <c r="I89" s="359">
        <v>467488</v>
      </c>
      <c r="J89" s="360"/>
      <c r="K89" s="353"/>
    </row>
    <row r="90" spans="1:226" s="354" customFormat="1" ht="15" customHeight="1">
      <c r="A90" s="1557"/>
      <c r="B90" s="1581"/>
      <c r="C90" s="1563"/>
      <c r="D90" s="1566"/>
      <c r="E90" s="358" t="s">
        <v>367</v>
      </c>
      <c r="F90" s="359">
        <f t="shared" si="7"/>
        <v>82498</v>
      </c>
      <c r="G90" s="359">
        <v>82498</v>
      </c>
      <c r="H90" s="359"/>
      <c r="I90" s="359"/>
      <c r="J90" s="360"/>
      <c r="K90" s="353"/>
    </row>
    <row r="91" spans="1:226" s="354" customFormat="1" ht="24.95" hidden="1" customHeight="1">
      <c r="A91" s="1557"/>
      <c r="B91" s="1581"/>
      <c r="C91" s="1563"/>
      <c r="D91" s="1566"/>
      <c r="E91" s="393" t="s">
        <v>338</v>
      </c>
      <c r="F91" s="394">
        <f>SUM(F92:F93)</f>
        <v>0</v>
      </c>
      <c r="G91" s="394">
        <f>SUM(G92:G93)</f>
        <v>0</v>
      </c>
      <c r="H91" s="394">
        <f>SUM(H92:H93)</f>
        <v>0</v>
      </c>
      <c r="I91" s="394">
        <f>SUM(I92:I93)</f>
        <v>0</v>
      </c>
      <c r="J91" s="395">
        <f>SUM(J92:J93)</f>
        <v>0</v>
      </c>
      <c r="K91" s="353"/>
      <c r="L91" s="353"/>
      <c r="M91" s="353"/>
      <c r="N91" s="353"/>
      <c r="O91" s="353"/>
      <c r="P91" s="353"/>
      <c r="Q91" s="353"/>
      <c r="R91" s="353"/>
      <c r="S91" s="353"/>
      <c r="T91" s="353"/>
      <c r="U91" s="353"/>
      <c r="V91" s="353"/>
      <c r="W91" s="353"/>
      <c r="X91" s="353"/>
      <c r="Y91" s="353"/>
      <c r="Z91" s="353"/>
      <c r="AA91" s="353"/>
      <c r="AB91" s="353"/>
      <c r="AC91" s="353"/>
      <c r="AD91" s="353"/>
      <c r="AE91" s="353"/>
      <c r="AF91" s="353"/>
      <c r="AG91" s="353"/>
      <c r="AH91" s="353"/>
      <c r="AI91" s="353"/>
      <c r="AJ91" s="353"/>
      <c r="AK91" s="353"/>
      <c r="AL91" s="353"/>
      <c r="AM91" s="353"/>
      <c r="AN91" s="353"/>
      <c r="AO91" s="353"/>
      <c r="AP91" s="353"/>
      <c r="AQ91" s="353"/>
      <c r="AR91" s="353"/>
      <c r="AS91" s="353"/>
      <c r="AT91" s="353"/>
      <c r="AU91" s="353"/>
      <c r="AV91" s="353"/>
      <c r="AW91" s="353"/>
      <c r="AX91" s="353"/>
      <c r="AY91" s="353"/>
      <c r="AZ91" s="353"/>
      <c r="BA91" s="353"/>
      <c r="BB91" s="353"/>
      <c r="BC91" s="353"/>
      <c r="BD91" s="353"/>
      <c r="BE91" s="353"/>
      <c r="BF91" s="353"/>
      <c r="BG91" s="353"/>
      <c r="BH91" s="353"/>
      <c r="BI91" s="353"/>
      <c r="BJ91" s="353"/>
      <c r="BK91" s="353"/>
      <c r="BL91" s="353"/>
      <c r="BM91" s="353"/>
      <c r="BN91" s="353"/>
      <c r="BO91" s="353"/>
      <c r="BP91" s="353"/>
      <c r="BQ91" s="353"/>
      <c r="BR91" s="353"/>
      <c r="BS91" s="353"/>
      <c r="BT91" s="353"/>
      <c r="BU91" s="353"/>
      <c r="BV91" s="353"/>
      <c r="BW91" s="353"/>
      <c r="BX91" s="353"/>
      <c r="BY91" s="353"/>
      <c r="BZ91" s="353"/>
      <c r="CA91" s="353"/>
      <c r="CB91" s="353"/>
      <c r="CC91" s="353"/>
      <c r="CD91" s="353"/>
      <c r="CE91" s="353"/>
      <c r="CF91" s="353"/>
      <c r="CG91" s="353"/>
      <c r="CH91" s="353"/>
      <c r="CI91" s="353"/>
      <c r="CJ91" s="353"/>
      <c r="CK91" s="353"/>
      <c r="CL91" s="353"/>
      <c r="CM91" s="353"/>
      <c r="CN91" s="353"/>
      <c r="CO91" s="353"/>
      <c r="CP91" s="353"/>
      <c r="CQ91" s="353"/>
      <c r="CR91" s="353"/>
      <c r="CS91" s="353"/>
      <c r="CT91" s="353"/>
      <c r="CU91" s="353"/>
      <c r="CV91" s="353"/>
      <c r="CW91" s="353"/>
      <c r="CX91" s="353"/>
      <c r="CY91" s="353"/>
      <c r="CZ91" s="353"/>
      <c r="DA91" s="353"/>
      <c r="DB91" s="353"/>
      <c r="DC91" s="353"/>
      <c r="DD91" s="353"/>
      <c r="DE91" s="353"/>
      <c r="DF91" s="353"/>
      <c r="DG91" s="353"/>
      <c r="DH91" s="353"/>
      <c r="DI91" s="353"/>
      <c r="DJ91" s="353"/>
      <c r="DK91" s="353"/>
      <c r="DL91" s="353"/>
      <c r="DM91" s="353"/>
      <c r="DN91" s="353"/>
      <c r="DO91" s="353"/>
      <c r="DP91" s="353"/>
      <c r="DQ91" s="353"/>
      <c r="DR91" s="353"/>
      <c r="DS91" s="353"/>
      <c r="DT91" s="353"/>
      <c r="DU91" s="353"/>
      <c r="DV91" s="353"/>
      <c r="DW91" s="353"/>
      <c r="DX91" s="353"/>
      <c r="DY91" s="353"/>
      <c r="DZ91" s="353"/>
      <c r="EA91" s="353"/>
      <c r="EB91" s="353"/>
      <c r="EC91" s="353"/>
      <c r="ED91" s="353"/>
      <c r="EE91" s="353"/>
      <c r="EF91" s="353"/>
      <c r="EG91" s="353"/>
      <c r="EH91" s="353"/>
      <c r="EI91" s="353"/>
      <c r="EJ91" s="353"/>
      <c r="EK91" s="353"/>
      <c r="EL91" s="353"/>
      <c r="EM91" s="353"/>
      <c r="EN91" s="353"/>
      <c r="EO91" s="353"/>
      <c r="EP91" s="353"/>
      <c r="EQ91" s="353"/>
      <c r="ER91" s="353"/>
      <c r="ES91" s="353"/>
      <c r="ET91" s="353"/>
      <c r="EU91" s="353"/>
      <c r="EV91" s="353"/>
      <c r="EW91" s="353"/>
      <c r="EX91" s="353"/>
      <c r="EY91" s="353"/>
      <c r="EZ91" s="353"/>
      <c r="FA91" s="353"/>
      <c r="FB91" s="353"/>
      <c r="FC91" s="353"/>
      <c r="FD91" s="353"/>
      <c r="FE91" s="353"/>
      <c r="FF91" s="353"/>
      <c r="FG91" s="353"/>
      <c r="FH91" s="353"/>
      <c r="FI91" s="353"/>
      <c r="FJ91" s="353"/>
      <c r="FK91" s="353"/>
      <c r="FL91" s="353"/>
      <c r="FM91" s="353"/>
      <c r="FN91" s="353"/>
      <c r="FO91" s="353"/>
      <c r="FP91" s="353"/>
      <c r="FQ91" s="353"/>
      <c r="FR91" s="353"/>
      <c r="FS91" s="353"/>
      <c r="FT91" s="353"/>
      <c r="FU91" s="353"/>
      <c r="FV91" s="353"/>
      <c r="FW91" s="353"/>
      <c r="FX91" s="353"/>
      <c r="FY91" s="353"/>
      <c r="FZ91" s="353"/>
      <c r="GA91" s="353"/>
      <c r="GB91" s="353"/>
      <c r="GC91" s="353"/>
      <c r="GD91" s="353"/>
      <c r="GE91" s="353"/>
      <c r="GF91" s="353"/>
      <c r="GG91" s="353"/>
      <c r="GH91" s="353"/>
      <c r="GI91" s="353"/>
      <c r="GJ91" s="353"/>
      <c r="GK91" s="353"/>
      <c r="GL91" s="353"/>
      <c r="GM91" s="353"/>
      <c r="GN91" s="353"/>
      <c r="GO91" s="353"/>
      <c r="GP91" s="353"/>
      <c r="GQ91" s="353"/>
      <c r="GR91" s="353"/>
      <c r="GS91" s="353"/>
      <c r="GT91" s="353"/>
      <c r="GU91" s="353"/>
      <c r="GV91" s="353"/>
      <c r="GW91" s="353"/>
      <c r="GX91" s="353"/>
      <c r="GY91" s="353"/>
      <c r="GZ91" s="353"/>
      <c r="HA91" s="353"/>
      <c r="HB91" s="353"/>
      <c r="HC91" s="353"/>
      <c r="HD91" s="353"/>
      <c r="HE91" s="353"/>
      <c r="HF91" s="353"/>
      <c r="HG91" s="353"/>
      <c r="HH91" s="353"/>
      <c r="HI91" s="353"/>
      <c r="HJ91" s="353"/>
      <c r="HK91" s="353"/>
      <c r="HL91" s="353"/>
      <c r="HM91" s="353"/>
      <c r="HN91" s="353"/>
      <c r="HO91" s="353"/>
      <c r="HP91" s="353"/>
      <c r="HQ91" s="353"/>
      <c r="HR91" s="353"/>
    </row>
    <row r="92" spans="1:226" s="354" customFormat="1" ht="15" hidden="1" customHeight="1">
      <c r="A92" s="1557"/>
      <c r="B92" s="1581"/>
      <c r="C92" s="1563"/>
      <c r="D92" s="1566"/>
      <c r="E92" s="358"/>
      <c r="F92" s="359">
        <f>SUM(G92:J92)</f>
        <v>0</v>
      </c>
      <c r="G92" s="359"/>
      <c r="H92" s="359"/>
      <c r="I92" s="359"/>
      <c r="J92" s="360"/>
      <c r="K92" s="353"/>
    </row>
    <row r="93" spans="1:226" s="354" customFormat="1" ht="15" hidden="1" customHeight="1">
      <c r="A93" s="1557"/>
      <c r="B93" s="1581"/>
      <c r="C93" s="1563"/>
      <c r="D93" s="1566"/>
      <c r="E93" s="358"/>
      <c r="F93" s="359">
        <f>SUM(G93:J93)</f>
        <v>0</v>
      </c>
      <c r="G93" s="359"/>
      <c r="H93" s="359"/>
      <c r="I93" s="359"/>
      <c r="J93" s="360"/>
      <c r="K93" s="353"/>
    </row>
    <row r="94" spans="1:226" s="354" customFormat="1" ht="18" customHeight="1">
      <c r="A94" s="1558"/>
      <c r="B94" s="1582"/>
      <c r="C94" s="1564"/>
      <c r="D94" s="1567"/>
      <c r="E94" s="361" t="s">
        <v>318</v>
      </c>
      <c r="F94" s="356">
        <f>SUM(F95:F95)</f>
        <v>0</v>
      </c>
      <c r="G94" s="356">
        <f>SUM(G95:G95)</f>
        <v>0</v>
      </c>
      <c r="H94" s="356">
        <f>SUM(H95:H95)</f>
        <v>0</v>
      </c>
      <c r="I94" s="356">
        <f>SUM(I95:I95)</f>
        <v>0</v>
      </c>
      <c r="J94" s="357">
        <f>SUM(J95:J95)</f>
        <v>0</v>
      </c>
      <c r="K94" s="353"/>
    </row>
    <row r="95" spans="1:226" s="354" customFormat="1" ht="15" hidden="1" customHeight="1">
      <c r="A95" s="397"/>
      <c r="B95" s="405"/>
      <c r="C95" s="399"/>
      <c r="D95" s="400"/>
      <c r="E95" s="401"/>
      <c r="F95" s="402">
        <f>SUM(G95:J95)</f>
        <v>0</v>
      </c>
      <c r="G95" s="402"/>
      <c r="H95" s="402"/>
      <c r="I95" s="402"/>
      <c r="J95" s="403"/>
      <c r="K95" s="353"/>
    </row>
    <row r="96" spans="1:226" s="354" customFormat="1" ht="24.95" customHeight="1">
      <c r="A96" s="1547" t="s">
        <v>368</v>
      </c>
      <c r="B96" s="1548" t="s">
        <v>369</v>
      </c>
      <c r="C96" s="1570">
        <v>750</v>
      </c>
      <c r="D96" s="1572" t="s">
        <v>331</v>
      </c>
      <c r="E96" s="350" t="s">
        <v>315</v>
      </c>
      <c r="F96" s="351">
        <f>SUM(F97,F128)</f>
        <v>4375620</v>
      </c>
      <c r="G96" s="351">
        <f>SUM(G97,G128)</f>
        <v>656343</v>
      </c>
      <c r="H96" s="351">
        <f>SUM(H97,H128)</f>
        <v>0</v>
      </c>
      <c r="I96" s="351">
        <f>SUM(I97,I128)</f>
        <v>3719277</v>
      </c>
      <c r="J96" s="352">
        <f>SUM(J97,J128)</f>
        <v>0</v>
      </c>
      <c r="K96" s="353"/>
    </row>
    <row r="97" spans="1:226" s="354" customFormat="1" ht="24.95" customHeight="1">
      <c r="A97" s="1547"/>
      <c r="B97" s="1548"/>
      <c r="C97" s="1570"/>
      <c r="D97" s="1572"/>
      <c r="E97" s="355" t="s">
        <v>332</v>
      </c>
      <c r="F97" s="356">
        <f>SUM(F98,F105)</f>
        <v>3675620</v>
      </c>
      <c r="G97" s="356">
        <f>SUM(G98,G105)</f>
        <v>551343</v>
      </c>
      <c r="H97" s="356">
        <f>SUM(H98,H105)</f>
        <v>0</v>
      </c>
      <c r="I97" s="356">
        <f>SUM(I98,I105)</f>
        <v>3124277</v>
      </c>
      <c r="J97" s="357">
        <f>SUM(J98,J105)</f>
        <v>0</v>
      </c>
      <c r="K97" s="353"/>
    </row>
    <row r="98" spans="1:226" s="354" customFormat="1" ht="24.95" customHeight="1">
      <c r="A98" s="1547"/>
      <c r="B98" s="1548"/>
      <c r="C98" s="1570"/>
      <c r="D98" s="1572"/>
      <c r="E98" s="393" t="s">
        <v>333</v>
      </c>
      <c r="F98" s="394">
        <f>SUM(F99:F104)</f>
        <v>1844620</v>
      </c>
      <c r="G98" s="394">
        <f t="shared" ref="G98:J98" si="8">SUM(G99:G104)</f>
        <v>276693</v>
      </c>
      <c r="H98" s="394">
        <f t="shared" si="8"/>
        <v>0</v>
      </c>
      <c r="I98" s="394">
        <f t="shared" si="8"/>
        <v>1567927</v>
      </c>
      <c r="J98" s="395">
        <f t="shared" si="8"/>
        <v>0</v>
      </c>
      <c r="K98" s="353"/>
    </row>
    <row r="99" spans="1:226" s="354" customFormat="1" ht="15" customHeight="1">
      <c r="A99" s="1547"/>
      <c r="B99" s="1548"/>
      <c r="C99" s="1570"/>
      <c r="D99" s="1572"/>
      <c r="E99" s="358" t="s">
        <v>334</v>
      </c>
      <c r="F99" s="359">
        <f t="shared" ref="F99:F104" si="9">SUM(G99:J99)</f>
        <v>48076</v>
      </c>
      <c r="G99" s="359"/>
      <c r="H99" s="359"/>
      <c r="I99" s="359">
        <v>48076</v>
      </c>
      <c r="J99" s="360"/>
      <c r="K99" s="353"/>
    </row>
    <row r="100" spans="1:226" s="354" customFormat="1" ht="15" customHeight="1">
      <c r="A100" s="1547"/>
      <c r="B100" s="1548"/>
      <c r="C100" s="1570"/>
      <c r="D100" s="1572"/>
      <c r="E100" s="358" t="s">
        <v>335</v>
      </c>
      <c r="F100" s="359">
        <f t="shared" si="9"/>
        <v>8484</v>
      </c>
      <c r="G100" s="359">
        <v>8484</v>
      </c>
      <c r="H100" s="359"/>
      <c r="I100" s="359"/>
      <c r="J100" s="360"/>
      <c r="K100" s="353"/>
    </row>
    <row r="101" spans="1:226" s="354" customFormat="1" ht="15" customHeight="1">
      <c r="A101" s="1547"/>
      <c r="B101" s="1548"/>
      <c r="C101" s="1570"/>
      <c r="D101" s="1572"/>
      <c r="E101" s="358" t="s">
        <v>366</v>
      </c>
      <c r="F101" s="359">
        <f t="shared" si="9"/>
        <v>6851</v>
      </c>
      <c r="G101" s="359"/>
      <c r="H101" s="359"/>
      <c r="I101" s="359">
        <v>6851</v>
      </c>
      <c r="J101" s="360"/>
      <c r="K101" s="353"/>
    </row>
    <row r="102" spans="1:226" s="354" customFormat="1" ht="15" customHeight="1">
      <c r="A102" s="1547"/>
      <c r="B102" s="1548"/>
      <c r="C102" s="1570"/>
      <c r="D102" s="1572"/>
      <c r="E102" s="358" t="s">
        <v>367</v>
      </c>
      <c r="F102" s="359">
        <f t="shared" si="9"/>
        <v>1209</v>
      </c>
      <c r="G102" s="359">
        <v>1209</v>
      </c>
      <c r="H102" s="359"/>
      <c r="I102" s="359"/>
      <c r="J102" s="360"/>
      <c r="K102" s="353"/>
    </row>
    <row r="103" spans="1:226" s="354" customFormat="1" ht="15" customHeight="1">
      <c r="A103" s="1547"/>
      <c r="B103" s="1548"/>
      <c r="C103" s="1570"/>
      <c r="D103" s="1572"/>
      <c r="E103" s="358" t="s">
        <v>336</v>
      </c>
      <c r="F103" s="359">
        <f t="shared" si="9"/>
        <v>1513000</v>
      </c>
      <c r="G103" s="359"/>
      <c r="H103" s="359"/>
      <c r="I103" s="359">
        <v>1513000</v>
      </c>
      <c r="J103" s="360"/>
      <c r="K103" s="353"/>
    </row>
    <row r="104" spans="1:226" s="354" customFormat="1" ht="15" customHeight="1">
      <c r="A104" s="1547"/>
      <c r="B104" s="1548"/>
      <c r="C104" s="1570"/>
      <c r="D104" s="1572"/>
      <c r="E104" s="358" t="s">
        <v>337</v>
      </c>
      <c r="F104" s="359">
        <f t="shared" si="9"/>
        <v>267000</v>
      </c>
      <c r="G104" s="359">
        <v>267000</v>
      </c>
      <c r="H104" s="359"/>
      <c r="I104" s="359"/>
      <c r="J104" s="360"/>
      <c r="K104" s="353"/>
    </row>
    <row r="105" spans="1:226" s="354" customFormat="1" ht="24.95" customHeight="1">
      <c r="A105" s="1547"/>
      <c r="B105" s="1548"/>
      <c r="C105" s="1570"/>
      <c r="D105" s="1572"/>
      <c r="E105" s="393" t="s">
        <v>338</v>
      </c>
      <c r="F105" s="394">
        <f>SUM(F106:F127)</f>
        <v>1831000</v>
      </c>
      <c r="G105" s="394">
        <f t="shared" ref="G105:J105" si="10">SUM(G106:G127)</f>
        <v>274650</v>
      </c>
      <c r="H105" s="394">
        <f t="shared" si="10"/>
        <v>0</v>
      </c>
      <c r="I105" s="394">
        <f t="shared" si="10"/>
        <v>1556350</v>
      </c>
      <c r="J105" s="395">
        <f t="shared" si="10"/>
        <v>0</v>
      </c>
      <c r="K105" s="353"/>
      <c r="L105" s="353"/>
      <c r="M105" s="353"/>
      <c r="N105" s="353"/>
      <c r="O105" s="353"/>
      <c r="P105" s="353"/>
      <c r="Q105" s="353"/>
      <c r="R105" s="353"/>
      <c r="S105" s="353"/>
      <c r="T105" s="353"/>
      <c r="U105" s="353"/>
      <c r="V105" s="353"/>
      <c r="W105" s="353"/>
      <c r="X105" s="353"/>
      <c r="Y105" s="353"/>
      <c r="Z105" s="353"/>
      <c r="AA105" s="353"/>
      <c r="AB105" s="353"/>
      <c r="AC105" s="353"/>
      <c r="AD105" s="353"/>
      <c r="AE105" s="353"/>
      <c r="AF105" s="353"/>
      <c r="AG105" s="353"/>
      <c r="AH105" s="353"/>
      <c r="AI105" s="353"/>
      <c r="AJ105" s="353"/>
      <c r="AK105" s="353"/>
      <c r="AL105" s="353"/>
      <c r="AM105" s="353"/>
      <c r="AN105" s="353"/>
      <c r="AO105" s="353"/>
      <c r="AP105" s="353"/>
      <c r="AQ105" s="353"/>
      <c r="AR105" s="353"/>
      <c r="AS105" s="353"/>
      <c r="AT105" s="353"/>
      <c r="AU105" s="353"/>
      <c r="AV105" s="353"/>
      <c r="AW105" s="353"/>
      <c r="AX105" s="353"/>
      <c r="AY105" s="353"/>
      <c r="AZ105" s="353"/>
      <c r="BA105" s="353"/>
      <c r="BB105" s="353"/>
      <c r="BC105" s="353"/>
      <c r="BD105" s="353"/>
      <c r="BE105" s="353"/>
      <c r="BF105" s="353"/>
      <c r="BG105" s="353"/>
      <c r="BH105" s="353"/>
      <c r="BI105" s="353"/>
      <c r="BJ105" s="353"/>
      <c r="BK105" s="353"/>
      <c r="BL105" s="353"/>
      <c r="BM105" s="353"/>
      <c r="BN105" s="353"/>
      <c r="BO105" s="353"/>
      <c r="BP105" s="353"/>
      <c r="BQ105" s="353"/>
      <c r="BR105" s="353"/>
      <c r="BS105" s="353"/>
      <c r="BT105" s="353"/>
      <c r="BU105" s="353"/>
      <c r="BV105" s="353"/>
      <c r="BW105" s="353"/>
      <c r="BX105" s="353"/>
      <c r="BY105" s="353"/>
      <c r="BZ105" s="353"/>
      <c r="CA105" s="353"/>
      <c r="CB105" s="353"/>
      <c r="CC105" s="353"/>
      <c r="CD105" s="353"/>
      <c r="CE105" s="353"/>
      <c r="CF105" s="353"/>
      <c r="CG105" s="353"/>
      <c r="CH105" s="353"/>
      <c r="CI105" s="353"/>
      <c r="CJ105" s="353"/>
      <c r="CK105" s="353"/>
      <c r="CL105" s="353"/>
      <c r="CM105" s="353"/>
      <c r="CN105" s="353"/>
      <c r="CO105" s="353"/>
      <c r="CP105" s="353"/>
      <c r="CQ105" s="353"/>
      <c r="CR105" s="353"/>
      <c r="CS105" s="353"/>
      <c r="CT105" s="353"/>
      <c r="CU105" s="353"/>
      <c r="CV105" s="353"/>
      <c r="CW105" s="353"/>
      <c r="CX105" s="353"/>
      <c r="CY105" s="353"/>
      <c r="CZ105" s="353"/>
      <c r="DA105" s="353"/>
      <c r="DB105" s="353"/>
      <c r="DC105" s="353"/>
      <c r="DD105" s="353"/>
      <c r="DE105" s="353"/>
      <c r="DF105" s="353"/>
      <c r="DG105" s="353"/>
      <c r="DH105" s="353"/>
      <c r="DI105" s="353"/>
      <c r="DJ105" s="353"/>
      <c r="DK105" s="353"/>
      <c r="DL105" s="353"/>
      <c r="DM105" s="353"/>
      <c r="DN105" s="353"/>
      <c r="DO105" s="353"/>
      <c r="DP105" s="353"/>
      <c r="DQ105" s="353"/>
      <c r="DR105" s="353"/>
      <c r="DS105" s="353"/>
      <c r="DT105" s="353"/>
      <c r="DU105" s="353"/>
      <c r="DV105" s="353"/>
      <c r="DW105" s="353"/>
      <c r="DX105" s="353"/>
      <c r="DY105" s="353"/>
      <c r="DZ105" s="353"/>
      <c r="EA105" s="353"/>
      <c r="EB105" s="353"/>
      <c r="EC105" s="353"/>
      <c r="ED105" s="353"/>
      <c r="EE105" s="353"/>
      <c r="EF105" s="353"/>
      <c r="EG105" s="353"/>
      <c r="EH105" s="353"/>
      <c r="EI105" s="353"/>
      <c r="EJ105" s="353"/>
      <c r="EK105" s="353"/>
      <c r="EL105" s="353"/>
      <c r="EM105" s="353"/>
      <c r="EN105" s="353"/>
      <c r="EO105" s="353"/>
      <c r="EP105" s="353"/>
      <c r="EQ105" s="353"/>
      <c r="ER105" s="353"/>
      <c r="ES105" s="353"/>
      <c r="ET105" s="353"/>
      <c r="EU105" s="353"/>
      <c r="EV105" s="353"/>
      <c r="EW105" s="353"/>
      <c r="EX105" s="353"/>
      <c r="EY105" s="353"/>
      <c r="EZ105" s="353"/>
      <c r="FA105" s="353"/>
      <c r="FB105" s="353"/>
      <c r="FC105" s="353"/>
      <c r="FD105" s="353"/>
      <c r="FE105" s="353"/>
      <c r="FF105" s="353"/>
      <c r="FG105" s="353"/>
      <c r="FH105" s="353"/>
      <c r="FI105" s="353"/>
      <c r="FJ105" s="353"/>
      <c r="FK105" s="353"/>
      <c r="FL105" s="353"/>
      <c r="FM105" s="353"/>
      <c r="FN105" s="353"/>
      <c r="FO105" s="353"/>
      <c r="FP105" s="353"/>
      <c r="FQ105" s="353"/>
      <c r="FR105" s="353"/>
      <c r="FS105" s="353"/>
      <c r="FT105" s="353"/>
      <c r="FU105" s="353"/>
      <c r="FV105" s="353"/>
      <c r="FW105" s="353"/>
      <c r="FX105" s="353"/>
      <c r="FY105" s="353"/>
      <c r="FZ105" s="353"/>
      <c r="GA105" s="353"/>
      <c r="GB105" s="353"/>
      <c r="GC105" s="353"/>
      <c r="GD105" s="353"/>
      <c r="GE105" s="353"/>
      <c r="GF105" s="353"/>
      <c r="GG105" s="353"/>
      <c r="GH105" s="353"/>
      <c r="GI105" s="353"/>
      <c r="GJ105" s="353"/>
      <c r="GK105" s="353"/>
      <c r="GL105" s="353"/>
      <c r="GM105" s="353"/>
      <c r="GN105" s="353"/>
      <c r="GO105" s="353"/>
      <c r="GP105" s="353"/>
      <c r="GQ105" s="353"/>
      <c r="GR105" s="353"/>
      <c r="GS105" s="353"/>
      <c r="GT105" s="353"/>
      <c r="GU105" s="353"/>
      <c r="GV105" s="353"/>
      <c r="GW105" s="353"/>
      <c r="GX105" s="353"/>
      <c r="GY105" s="353"/>
      <c r="GZ105" s="353"/>
      <c r="HA105" s="353"/>
      <c r="HB105" s="353"/>
      <c r="HC105" s="353"/>
      <c r="HD105" s="353"/>
      <c r="HE105" s="353"/>
      <c r="HF105" s="353"/>
      <c r="HG105" s="353"/>
      <c r="HH105" s="353"/>
      <c r="HI105" s="353"/>
      <c r="HJ105" s="353"/>
      <c r="HK105" s="353"/>
      <c r="HL105" s="353"/>
      <c r="HM105" s="353"/>
      <c r="HN105" s="353"/>
      <c r="HO105" s="353"/>
      <c r="HP105" s="353"/>
      <c r="HQ105" s="353"/>
      <c r="HR105" s="353"/>
    </row>
    <row r="106" spans="1:226" s="354" customFormat="1" ht="15" customHeight="1">
      <c r="A106" s="1547"/>
      <c r="B106" s="1548"/>
      <c r="C106" s="1570"/>
      <c r="D106" s="1572"/>
      <c r="E106" s="358" t="s">
        <v>370</v>
      </c>
      <c r="F106" s="359">
        <f>SUM(G106:J106)</f>
        <v>21250</v>
      </c>
      <c r="G106" s="359"/>
      <c r="H106" s="359"/>
      <c r="I106" s="359">
        <v>21250</v>
      </c>
      <c r="J106" s="360"/>
      <c r="K106" s="353"/>
    </row>
    <row r="107" spans="1:226" s="354" customFormat="1" ht="15" customHeight="1">
      <c r="A107" s="1547"/>
      <c r="B107" s="1548"/>
      <c r="C107" s="1570"/>
      <c r="D107" s="1572"/>
      <c r="E107" s="358" t="s">
        <v>371</v>
      </c>
      <c r="F107" s="359">
        <f t="shared" ref="F107:F127" si="11">SUM(G107:J107)</f>
        <v>3750</v>
      </c>
      <c r="G107" s="359">
        <v>3750</v>
      </c>
      <c r="H107" s="359"/>
      <c r="I107" s="359"/>
      <c r="J107" s="360"/>
      <c r="K107" s="353"/>
    </row>
    <row r="108" spans="1:226" s="354" customFormat="1" ht="15" customHeight="1">
      <c r="A108" s="1547"/>
      <c r="B108" s="1548"/>
      <c r="C108" s="1570"/>
      <c r="D108" s="1572"/>
      <c r="E108" s="358" t="s">
        <v>339</v>
      </c>
      <c r="F108" s="359">
        <f t="shared" si="11"/>
        <v>260100</v>
      </c>
      <c r="G108" s="359"/>
      <c r="H108" s="359"/>
      <c r="I108" s="359">
        <v>260100</v>
      </c>
      <c r="J108" s="360"/>
      <c r="K108" s="353"/>
    </row>
    <row r="109" spans="1:226" s="354" customFormat="1" ht="15" customHeight="1">
      <c r="A109" s="1547"/>
      <c r="B109" s="1548"/>
      <c r="C109" s="1570"/>
      <c r="D109" s="1572"/>
      <c r="E109" s="358" t="s">
        <v>340</v>
      </c>
      <c r="F109" s="359">
        <f t="shared" si="11"/>
        <v>45900</v>
      </c>
      <c r="G109" s="359">
        <v>45900</v>
      </c>
      <c r="H109" s="359"/>
      <c r="I109" s="359"/>
      <c r="J109" s="360"/>
      <c r="K109" s="353"/>
    </row>
    <row r="110" spans="1:226" s="354" customFormat="1" ht="15" customHeight="1">
      <c r="A110" s="1547"/>
      <c r="B110" s="1548"/>
      <c r="C110" s="1570"/>
      <c r="D110" s="1572"/>
      <c r="E110" s="358" t="s">
        <v>372</v>
      </c>
      <c r="F110" s="359">
        <f t="shared" si="11"/>
        <v>263500</v>
      </c>
      <c r="G110" s="359"/>
      <c r="H110" s="359"/>
      <c r="I110" s="359">
        <v>263500</v>
      </c>
      <c r="J110" s="360"/>
      <c r="K110" s="353"/>
    </row>
    <row r="111" spans="1:226" s="354" customFormat="1" ht="15" customHeight="1">
      <c r="A111" s="1547"/>
      <c r="B111" s="1548"/>
      <c r="C111" s="1570"/>
      <c r="D111" s="1572"/>
      <c r="E111" s="358" t="s">
        <v>373</v>
      </c>
      <c r="F111" s="359">
        <f t="shared" si="11"/>
        <v>46500</v>
      </c>
      <c r="G111" s="359">
        <v>46500</v>
      </c>
      <c r="H111" s="359"/>
      <c r="I111" s="359"/>
      <c r="J111" s="360"/>
      <c r="K111" s="353"/>
    </row>
    <row r="112" spans="1:226" s="354" customFormat="1" ht="15" customHeight="1">
      <c r="A112" s="1547"/>
      <c r="B112" s="1548"/>
      <c r="C112" s="1570"/>
      <c r="D112" s="1572"/>
      <c r="E112" s="358" t="s">
        <v>374</v>
      </c>
      <c r="F112" s="359">
        <f t="shared" si="11"/>
        <v>25500</v>
      </c>
      <c r="G112" s="359"/>
      <c r="H112" s="359"/>
      <c r="I112" s="359">
        <v>25500</v>
      </c>
      <c r="J112" s="360"/>
      <c r="K112" s="353"/>
    </row>
    <row r="113" spans="1:11" s="354" customFormat="1" ht="15" customHeight="1">
      <c r="A113" s="1547"/>
      <c r="B113" s="1548"/>
      <c r="C113" s="1570"/>
      <c r="D113" s="1572"/>
      <c r="E113" s="358" t="s">
        <v>375</v>
      </c>
      <c r="F113" s="359">
        <f t="shared" si="11"/>
        <v>4500</v>
      </c>
      <c r="G113" s="359">
        <v>4500</v>
      </c>
      <c r="H113" s="359"/>
      <c r="I113" s="359"/>
      <c r="J113" s="360"/>
      <c r="K113" s="353"/>
    </row>
    <row r="114" spans="1:11" s="354" customFormat="1" ht="15" customHeight="1">
      <c r="A114" s="1547"/>
      <c r="B114" s="1548"/>
      <c r="C114" s="1570"/>
      <c r="D114" s="1572"/>
      <c r="E114" s="358" t="s">
        <v>341</v>
      </c>
      <c r="F114" s="359">
        <f t="shared" si="11"/>
        <v>510000</v>
      </c>
      <c r="G114" s="359"/>
      <c r="H114" s="359"/>
      <c r="I114" s="359">
        <v>510000</v>
      </c>
      <c r="J114" s="360"/>
      <c r="K114" s="353"/>
    </row>
    <row r="115" spans="1:11" s="354" customFormat="1" ht="15" customHeight="1">
      <c r="A115" s="1547"/>
      <c r="B115" s="1548"/>
      <c r="C115" s="1570"/>
      <c r="D115" s="1572"/>
      <c r="E115" s="358" t="s">
        <v>342</v>
      </c>
      <c r="F115" s="359">
        <f t="shared" si="11"/>
        <v>90000</v>
      </c>
      <c r="G115" s="359">
        <v>90000</v>
      </c>
      <c r="H115" s="359"/>
      <c r="I115" s="359"/>
      <c r="J115" s="360"/>
      <c r="K115" s="353"/>
    </row>
    <row r="116" spans="1:11" s="354" customFormat="1" ht="15" customHeight="1">
      <c r="A116" s="1547"/>
      <c r="B116" s="1548"/>
      <c r="C116" s="1570"/>
      <c r="D116" s="1572"/>
      <c r="E116" s="358" t="s">
        <v>343</v>
      </c>
      <c r="F116" s="359">
        <f t="shared" si="11"/>
        <v>8500</v>
      </c>
      <c r="G116" s="359"/>
      <c r="H116" s="359"/>
      <c r="I116" s="359">
        <v>8500</v>
      </c>
      <c r="J116" s="360"/>
      <c r="K116" s="353"/>
    </row>
    <row r="117" spans="1:11" s="354" customFormat="1" ht="15" customHeight="1">
      <c r="A117" s="1547"/>
      <c r="B117" s="1548"/>
      <c r="C117" s="1570"/>
      <c r="D117" s="1572"/>
      <c r="E117" s="358" t="s">
        <v>344</v>
      </c>
      <c r="F117" s="359">
        <f t="shared" si="11"/>
        <v>1500</v>
      </c>
      <c r="G117" s="359">
        <v>1500</v>
      </c>
      <c r="H117" s="359"/>
      <c r="I117" s="359"/>
      <c r="J117" s="360"/>
      <c r="K117" s="353"/>
    </row>
    <row r="118" spans="1:11" s="354" customFormat="1" ht="15" customHeight="1">
      <c r="A118" s="1547"/>
      <c r="B118" s="1548"/>
      <c r="C118" s="1570"/>
      <c r="D118" s="1572"/>
      <c r="E118" s="358" t="s">
        <v>354</v>
      </c>
      <c r="F118" s="359">
        <f t="shared" si="11"/>
        <v>17000</v>
      </c>
      <c r="G118" s="359"/>
      <c r="H118" s="359"/>
      <c r="I118" s="359">
        <v>17000</v>
      </c>
      <c r="J118" s="360"/>
      <c r="K118" s="353"/>
    </row>
    <row r="119" spans="1:11" s="354" customFormat="1" ht="15" customHeight="1">
      <c r="A119" s="1547"/>
      <c r="B119" s="1548"/>
      <c r="C119" s="1570"/>
      <c r="D119" s="1572"/>
      <c r="E119" s="358" t="s">
        <v>355</v>
      </c>
      <c r="F119" s="359">
        <f t="shared" si="11"/>
        <v>3000</v>
      </c>
      <c r="G119" s="359">
        <v>3000</v>
      </c>
      <c r="H119" s="359"/>
      <c r="I119" s="359"/>
      <c r="J119" s="360"/>
      <c r="K119" s="353"/>
    </row>
    <row r="120" spans="1:11" s="354" customFormat="1" ht="15" customHeight="1">
      <c r="A120" s="1547"/>
      <c r="B120" s="1548"/>
      <c r="C120" s="1570"/>
      <c r="D120" s="1572"/>
      <c r="E120" s="358" t="s">
        <v>345</v>
      </c>
      <c r="F120" s="359">
        <f t="shared" si="11"/>
        <v>102000</v>
      </c>
      <c r="G120" s="359"/>
      <c r="H120" s="359"/>
      <c r="I120" s="359">
        <v>102000</v>
      </c>
      <c r="J120" s="360"/>
      <c r="K120" s="353"/>
    </row>
    <row r="121" spans="1:11" s="354" customFormat="1" ht="15" customHeight="1">
      <c r="A121" s="1547"/>
      <c r="B121" s="1548"/>
      <c r="C121" s="1570"/>
      <c r="D121" s="1572"/>
      <c r="E121" s="358" t="s">
        <v>346</v>
      </c>
      <c r="F121" s="359">
        <f t="shared" si="11"/>
        <v>18000</v>
      </c>
      <c r="G121" s="359">
        <v>18000</v>
      </c>
      <c r="H121" s="359"/>
      <c r="I121" s="359"/>
      <c r="J121" s="360"/>
      <c r="K121" s="353"/>
    </row>
    <row r="122" spans="1:11" s="354" customFormat="1" ht="15" customHeight="1">
      <c r="A122" s="1547"/>
      <c r="B122" s="1548"/>
      <c r="C122" s="1570"/>
      <c r="D122" s="1572"/>
      <c r="E122" s="358" t="s">
        <v>347</v>
      </c>
      <c r="F122" s="359">
        <f t="shared" si="11"/>
        <v>51000</v>
      </c>
      <c r="G122" s="359"/>
      <c r="H122" s="359"/>
      <c r="I122" s="359">
        <v>51000</v>
      </c>
      <c r="J122" s="360"/>
      <c r="K122" s="353"/>
    </row>
    <row r="123" spans="1:11" s="354" customFormat="1" ht="15" customHeight="1">
      <c r="A123" s="1547"/>
      <c r="B123" s="1548"/>
      <c r="C123" s="1570"/>
      <c r="D123" s="1572"/>
      <c r="E123" s="358" t="s">
        <v>348</v>
      </c>
      <c r="F123" s="359">
        <f t="shared" si="11"/>
        <v>9000</v>
      </c>
      <c r="G123" s="359">
        <v>9000</v>
      </c>
      <c r="H123" s="359"/>
      <c r="I123" s="359"/>
      <c r="J123" s="360"/>
      <c r="K123" s="353"/>
    </row>
    <row r="124" spans="1:11" s="354" customFormat="1" ht="15" customHeight="1">
      <c r="A124" s="1547"/>
      <c r="B124" s="1548"/>
      <c r="C124" s="1570"/>
      <c r="D124" s="1572"/>
      <c r="E124" s="358" t="s">
        <v>376</v>
      </c>
      <c r="F124" s="359">
        <f t="shared" si="11"/>
        <v>25500</v>
      </c>
      <c r="G124" s="359"/>
      <c r="H124" s="359"/>
      <c r="I124" s="359">
        <v>25500</v>
      </c>
      <c r="J124" s="360"/>
      <c r="K124" s="353"/>
    </row>
    <row r="125" spans="1:11" s="354" customFormat="1" ht="15" customHeight="1">
      <c r="A125" s="1547"/>
      <c r="B125" s="1548"/>
      <c r="C125" s="1570"/>
      <c r="D125" s="1572"/>
      <c r="E125" s="358" t="s">
        <v>377</v>
      </c>
      <c r="F125" s="359">
        <f t="shared" si="11"/>
        <v>4500</v>
      </c>
      <c r="G125" s="359">
        <v>4500</v>
      </c>
      <c r="H125" s="359"/>
      <c r="I125" s="359"/>
      <c r="J125" s="360"/>
      <c r="K125" s="353"/>
    </row>
    <row r="126" spans="1:11" s="354" customFormat="1" ht="15" customHeight="1">
      <c r="A126" s="1547"/>
      <c r="B126" s="1548"/>
      <c r="C126" s="1570"/>
      <c r="D126" s="1572"/>
      <c r="E126" s="358" t="s">
        <v>378</v>
      </c>
      <c r="F126" s="359">
        <f t="shared" si="11"/>
        <v>272000</v>
      </c>
      <c r="G126" s="359"/>
      <c r="H126" s="359"/>
      <c r="I126" s="359">
        <v>272000</v>
      </c>
      <c r="J126" s="360"/>
      <c r="K126" s="353"/>
    </row>
    <row r="127" spans="1:11" s="354" customFormat="1" ht="15" customHeight="1">
      <c r="A127" s="1547"/>
      <c r="B127" s="1548"/>
      <c r="C127" s="1570"/>
      <c r="D127" s="1572"/>
      <c r="E127" s="358" t="s">
        <v>379</v>
      </c>
      <c r="F127" s="359">
        <f t="shared" si="11"/>
        <v>48000</v>
      </c>
      <c r="G127" s="359">
        <v>48000</v>
      </c>
      <c r="H127" s="359"/>
      <c r="I127" s="359"/>
      <c r="J127" s="360"/>
      <c r="K127" s="353"/>
    </row>
    <row r="128" spans="1:11" s="354" customFormat="1" ht="24.75" customHeight="1">
      <c r="A128" s="1547"/>
      <c r="B128" s="1548"/>
      <c r="C128" s="1570"/>
      <c r="D128" s="1572"/>
      <c r="E128" s="361" t="s">
        <v>318</v>
      </c>
      <c r="F128" s="356">
        <f>SUM(F129:F130)</f>
        <v>700000</v>
      </c>
      <c r="G128" s="356">
        <f>SUM(G129:G130)</f>
        <v>105000</v>
      </c>
      <c r="H128" s="356">
        <f>SUM(H129:H130)</f>
        <v>0</v>
      </c>
      <c r="I128" s="356">
        <f>SUM(I129:I130)</f>
        <v>595000</v>
      </c>
      <c r="J128" s="357">
        <f>SUM(J129:J130)</f>
        <v>0</v>
      </c>
      <c r="K128" s="353"/>
    </row>
    <row r="129" spans="1:226" s="354" customFormat="1" ht="15" customHeight="1">
      <c r="A129" s="1547"/>
      <c r="B129" s="1548"/>
      <c r="C129" s="1570"/>
      <c r="D129" s="1572"/>
      <c r="E129" s="358" t="s">
        <v>380</v>
      </c>
      <c r="F129" s="359">
        <f t="shared" ref="F129:F130" si="12">SUM(G129:J129)</f>
        <v>595000</v>
      </c>
      <c r="G129" s="359"/>
      <c r="H129" s="359"/>
      <c r="I129" s="359">
        <v>595000</v>
      </c>
      <c r="J129" s="360"/>
      <c r="K129" s="353"/>
    </row>
    <row r="130" spans="1:226" s="354" customFormat="1" ht="15" customHeight="1">
      <c r="A130" s="1547"/>
      <c r="B130" s="1548"/>
      <c r="C130" s="1570"/>
      <c r="D130" s="1572"/>
      <c r="E130" s="396">
        <v>6069</v>
      </c>
      <c r="F130" s="359">
        <f t="shared" si="12"/>
        <v>105000</v>
      </c>
      <c r="G130" s="359">
        <v>105000</v>
      </c>
      <c r="H130" s="359"/>
      <c r="I130" s="359"/>
      <c r="J130" s="360"/>
      <c r="K130" s="353"/>
    </row>
    <row r="131" spans="1:226" s="354" customFormat="1" ht="24.95" customHeight="1">
      <c r="A131" s="1547" t="s">
        <v>381</v>
      </c>
      <c r="B131" s="1548" t="s">
        <v>382</v>
      </c>
      <c r="C131" s="1570">
        <v>750</v>
      </c>
      <c r="D131" s="1572" t="s">
        <v>331</v>
      </c>
      <c r="E131" s="350" t="s">
        <v>315</v>
      </c>
      <c r="F131" s="351">
        <f>SUM(F132,F140)</f>
        <v>55504</v>
      </c>
      <c r="G131" s="351">
        <f>SUM(G132,G140)</f>
        <v>8326</v>
      </c>
      <c r="H131" s="351">
        <f>SUM(H132,H140)</f>
        <v>0</v>
      </c>
      <c r="I131" s="351">
        <f>SUM(I132,I140)</f>
        <v>47178</v>
      </c>
      <c r="J131" s="352">
        <f>SUM(J132,J140)</f>
        <v>0</v>
      </c>
      <c r="K131" s="353"/>
    </row>
    <row r="132" spans="1:226" s="354" customFormat="1" ht="21.75" customHeight="1">
      <c r="A132" s="1547"/>
      <c r="B132" s="1548"/>
      <c r="C132" s="1570"/>
      <c r="D132" s="1572"/>
      <c r="E132" s="355" t="s">
        <v>332</v>
      </c>
      <c r="F132" s="356">
        <f>SUM(F133,F137)</f>
        <v>55504</v>
      </c>
      <c r="G132" s="356">
        <f>SUM(G133,G137)</f>
        <v>8326</v>
      </c>
      <c r="H132" s="356">
        <f>SUM(H133,H137)</f>
        <v>0</v>
      </c>
      <c r="I132" s="356">
        <f>SUM(I133,I137)</f>
        <v>47178</v>
      </c>
      <c r="J132" s="357">
        <f>SUM(J133,J137)</f>
        <v>0</v>
      </c>
      <c r="K132" s="353"/>
    </row>
    <row r="133" spans="1:226" s="354" customFormat="1" ht="24.95" hidden="1" customHeight="1">
      <c r="A133" s="1547"/>
      <c r="B133" s="1548"/>
      <c r="C133" s="1570"/>
      <c r="D133" s="1572"/>
      <c r="E133" s="393" t="s">
        <v>333</v>
      </c>
      <c r="F133" s="394">
        <f>SUM(F134:F136)</f>
        <v>0</v>
      </c>
      <c r="G133" s="394">
        <f>SUM(G134:G136)</f>
        <v>0</v>
      </c>
      <c r="H133" s="394">
        <f>SUM(H134:H136)</f>
        <v>0</v>
      </c>
      <c r="I133" s="394">
        <f>SUM(I134:I136)</f>
        <v>0</v>
      </c>
      <c r="J133" s="395">
        <f>SUM(J134:J136)</f>
        <v>0</v>
      </c>
      <c r="K133" s="353"/>
    </row>
    <row r="134" spans="1:226" s="354" customFormat="1" ht="15" hidden="1" customHeight="1">
      <c r="A134" s="1547"/>
      <c r="B134" s="1548"/>
      <c r="C134" s="1570"/>
      <c r="D134" s="1572"/>
      <c r="E134" s="358"/>
      <c r="F134" s="359">
        <f>SUM(G134:J134)</f>
        <v>0</v>
      </c>
      <c r="G134" s="359"/>
      <c r="H134" s="359"/>
      <c r="I134" s="359"/>
      <c r="J134" s="360"/>
      <c r="K134" s="353"/>
    </row>
    <row r="135" spans="1:226" s="354" customFormat="1" ht="15" hidden="1" customHeight="1">
      <c r="A135" s="1547"/>
      <c r="B135" s="1548"/>
      <c r="C135" s="1570"/>
      <c r="D135" s="1572"/>
      <c r="E135" s="358"/>
      <c r="F135" s="359">
        <f>SUM(G135:J135)</f>
        <v>0</v>
      </c>
      <c r="G135" s="359"/>
      <c r="H135" s="359"/>
      <c r="I135" s="359"/>
      <c r="J135" s="360"/>
      <c r="K135" s="353"/>
    </row>
    <row r="136" spans="1:226" s="354" customFormat="1" ht="15" hidden="1" customHeight="1">
      <c r="A136" s="1547"/>
      <c r="B136" s="1548"/>
      <c r="C136" s="1570"/>
      <c r="D136" s="1572"/>
      <c r="E136" s="358"/>
      <c r="F136" s="359">
        <f>SUM(G136:J136)</f>
        <v>0</v>
      </c>
      <c r="G136" s="359"/>
      <c r="H136" s="359"/>
      <c r="I136" s="359"/>
      <c r="J136" s="360"/>
      <c r="K136" s="353"/>
    </row>
    <row r="137" spans="1:226" s="354" customFormat="1" ht="24.95" customHeight="1">
      <c r="A137" s="1547"/>
      <c r="B137" s="1548"/>
      <c r="C137" s="1570"/>
      <c r="D137" s="1572"/>
      <c r="E137" s="393" t="s">
        <v>338</v>
      </c>
      <c r="F137" s="394">
        <f>SUM(F138:F139)</f>
        <v>55504</v>
      </c>
      <c r="G137" s="394">
        <f>SUM(G138:G139)</f>
        <v>8326</v>
      </c>
      <c r="H137" s="394">
        <f>SUM(H138:H139)</f>
        <v>0</v>
      </c>
      <c r="I137" s="394">
        <f>SUM(I138:I139)</f>
        <v>47178</v>
      </c>
      <c r="J137" s="395">
        <f>SUM(J138:J139)</f>
        <v>0</v>
      </c>
      <c r="K137" s="404"/>
      <c r="L137" s="404"/>
      <c r="M137" s="404"/>
      <c r="N137" s="404"/>
      <c r="O137" s="353"/>
      <c r="P137" s="353"/>
      <c r="Q137" s="353"/>
      <c r="R137" s="353"/>
      <c r="S137" s="353"/>
      <c r="T137" s="353"/>
      <c r="U137" s="353"/>
      <c r="V137" s="353"/>
      <c r="W137" s="353"/>
      <c r="X137" s="353"/>
      <c r="Y137" s="353"/>
      <c r="Z137" s="353"/>
      <c r="AA137" s="353"/>
      <c r="AB137" s="353"/>
      <c r="AC137" s="353"/>
      <c r="AD137" s="353"/>
      <c r="AE137" s="353"/>
      <c r="AF137" s="353"/>
      <c r="AG137" s="353"/>
      <c r="AH137" s="353"/>
      <c r="AI137" s="353"/>
      <c r="AJ137" s="353"/>
      <c r="AK137" s="353"/>
      <c r="AL137" s="353"/>
      <c r="AM137" s="353"/>
      <c r="AN137" s="353"/>
      <c r="AO137" s="353"/>
      <c r="AP137" s="353"/>
      <c r="AQ137" s="353"/>
      <c r="AR137" s="353"/>
      <c r="AS137" s="353"/>
      <c r="AT137" s="353"/>
      <c r="AU137" s="353"/>
      <c r="AV137" s="353"/>
      <c r="AW137" s="353"/>
      <c r="AX137" s="353"/>
      <c r="AY137" s="353"/>
      <c r="AZ137" s="353"/>
      <c r="BA137" s="353"/>
      <c r="BB137" s="353"/>
      <c r="BC137" s="353"/>
      <c r="BD137" s="353"/>
      <c r="BE137" s="353"/>
      <c r="BF137" s="353"/>
      <c r="BG137" s="353"/>
      <c r="BH137" s="353"/>
      <c r="BI137" s="353"/>
      <c r="BJ137" s="353"/>
      <c r="BK137" s="353"/>
      <c r="BL137" s="353"/>
      <c r="BM137" s="353"/>
      <c r="BN137" s="353"/>
      <c r="BO137" s="353"/>
      <c r="BP137" s="353"/>
      <c r="BQ137" s="353"/>
      <c r="BR137" s="353"/>
      <c r="BS137" s="353"/>
      <c r="BT137" s="353"/>
      <c r="BU137" s="353"/>
      <c r="BV137" s="353"/>
      <c r="BW137" s="353"/>
      <c r="BX137" s="353"/>
      <c r="BY137" s="353"/>
      <c r="BZ137" s="353"/>
      <c r="CA137" s="353"/>
      <c r="CB137" s="353"/>
      <c r="CC137" s="353"/>
      <c r="CD137" s="353"/>
      <c r="CE137" s="353"/>
      <c r="CF137" s="353"/>
      <c r="CG137" s="353"/>
      <c r="CH137" s="353"/>
      <c r="CI137" s="353"/>
      <c r="CJ137" s="353"/>
      <c r="CK137" s="353"/>
      <c r="CL137" s="353"/>
      <c r="CM137" s="353"/>
      <c r="CN137" s="353"/>
      <c r="CO137" s="353"/>
      <c r="CP137" s="353"/>
      <c r="CQ137" s="353"/>
      <c r="CR137" s="353"/>
      <c r="CS137" s="353"/>
      <c r="CT137" s="353"/>
      <c r="CU137" s="353"/>
      <c r="CV137" s="353"/>
      <c r="CW137" s="353"/>
      <c r="CX137" s="353"/>
      <c r="CY137" s="353"/>
      <c r="CZ137" s="353"/>
      <c r="DA137" s="353"/>
      <c r="DB137" s="353"/>
      <c r="DC137" s="353"/>
      <c r="DD137" s="353"/>
      <c r="DE137" s="353"/>
      <c r="DF137" s="353"/>
      <c r="DG137" s="353"/>
      <c r="DH137" s="353"/>
      <c r="DI137" s="353"/>
      <c r="DJ137" s="353"/>
      <c r="DK137" s="353"/>
      <c r="DL137" s="353"/>
      <c r="DM137" s="353"/>
      <c r="DN137" s="353"/>
      <c r="DO137" s="353"/>
      <c r="DP137" s="353"/>
      <c r="DQ137" s="353"/>
      <c r="DR137" s="353"/>
      <c r="DS137" s="353"/>
      <c r="DT137" s="353"/>
      <c r="DU137" s="353"/>
      <c r="DV137" s="353"/>
      <c r="DW137" s="353"/>
      <c r="DX137" s="353"/>
      <c r="DY137" s="353"/>
      <c r="DZ137" s="353"/>
      <c r="EA137" s="353"/>
      <c r="EB137" s="353"/>
      <c r="EC137" s="353"/>
      <c r="ED137" s="353"/>
      <c r="EE137" s="353"/>
      <c r="EF137" s="353"/>
      <c r="EG137" s="353"/>
      <c r="EH137" s="353"/>
      <c r="EI137" s="353"/>
      <c r="EJ137" s="353"/>
      <c r="EK137" s="353"/>
      <c r="EL137" s="353"/>
      <c r="EM137" s="353"/>
      <c r="EN137" s="353"/>
      <c r="EO137" s="353"/>
      <c r="EP137" s="353"/>
      <c r="EQ137" s="353"/>
      <c r="ER137" s="353"/>
      <c r="ES137" s="353"/>
      <c r="ET137" s="353"/>
      <c r="EU137" s="353"/>
      <c r="EV137" s="353"/>
      <c r="EW137" s="353"/>
      <c r="EX137" s="353"/>
      <c r="EY137" s="353"/>
      <c r="EZ137" s="353"/>
      <c r="FA137" s="353"/>
      <c r="FB137" s="353"/>
      <c r="FC137" s="353"/>
      <c r="FD137" s="353"/>
      <c r="FE137" s="353"/>
      <c r="FF137" s="353"/>
      <c r="FG137" s="353"/>
      <c r="FH137" s="353"/>
      <c r="FI137" s="353"/>
      <c r="FJ137" s="353"/>
      <c r="FK137" s="353"/>
      <c r="FL137" s="353"/>
      <c r="FM137" s="353"/>
      <c r="FN137" s="353"/>
      <c r="FO137" s="353"/>
      <c r="FP137" s="353"/>
      <c r="FQ137" s="353"/>
      <c r="FR137" s="353"/>
      <c r="FS137" s="353"/>
      <c r="FT137" s="353"/>
      <c r="FU137" s="353"/>
      <c r="FV137" s="353"/>
      <c r="FW137" s="353"/>
      <c r="FX137" s="353"/>
      <c r="FY137" s="353"/>
      <c r="FZ137" s="353"/>
      <c r="GA137" s="353"/>
      <c r="GB137" s="353"/>
      <c r="GC137" s="353"/>
      <c r="GD137" s="353"/>
      <c r="GE137" s="353"/>
      <c r="GF137" s="353"/>
      <c r="GG137" s="353"/>
      <c r="GH137" s="353"/>
      <c r="GI137" s="353"/>
      <c r="GJ137" s="353"/>
      <c r="GK137" s="353"/>
      <c r="GL137" s="353"/>
      <c r="GM137" s="353"/>
      <c r="GN137" s="353"/>
      <c r="GO137" s="353"/>
      <c r="GP137" s="353"/>
      <c r="GQ137" s="353"/>
      <c r="GR137" s="353"/>
      <c r="GS137" s="353"/>
      <c r="GT137" s="353"/>
      <c r="GU137" s="353"/>
      <c r="GV137" s="353"/>
      <c r="GW137" s="353"/>
      <c r="GX137" s="353"/>
      <c r="GY137" s="353"/>
      <c r="GZ137" s="353"/>
      <c r="HA137" s="353"/>
      <c r="HB137" s="353"/>
      <c r="HC137" s="353"/>
      <c r="HD137" s="353"/>
      <c r="HE137" s="353"/>
      <c r="HF137" s="353"/>
      <c r="HG137" s="353"/>
      <c r="HH137" s="353"/>
      <c r="HI137" s="353"/>
      <c r="HJ137" s="353"/>
      <c r="HK137" s="353"/>
      <c r="HL137" s="353"/>
      <c r="HM137" s="353"/>
      <c r="HN137" s="353"/>
      <c r="HO137" s="353"/>
      <c r="HP137" s="353"/>
      <c r="HQ137" s="353"/>
      <c r="HR137" s="353"/>
    </row>
    <row r="138" spans="1:226" s="354" customFormat="1" ht="15" customHeight="1">
      <c r="A138" s="1547"/>
      <c r="B138" s="1548"/>
      <c r="C138" s="1570"/>
      <c r="D138" s="1572"/>
      <c r="E138" s="358" t="s">
        <v>341</v>
      </c>
      <c r="F138" s="359">
        <f>SUM(G138:J138)</f>
        <v>47178</v>
      </c>
      <c r="G138" s="359"/>
      <c r="H138" s="359"/>
      <c r="I138" s="359">
        <v>47178</v>
      </c>
      <c r="J138" s="360"/>
      <c r="K138" s="404"/>
      <c r="L138" s="404"/>
      <c r="M138" s="404"/>
      <c r="N138" s="404"/>
    </row>
    <row r="139" spans="1:226" s="354" customFormat="1" ht="15" customHeight="1">
      <c r="A139" s="1547"/>
      <c r="B139" s="1548"/>
      <c r="C139" s="1570"/>
      <c r="D139" s="1572"/>
      <c r="E139" s="358" t="s">
        <v>342</v>
      </c>
      <c r="F139" s="359">
        <f>SUM(G139:J139)</f>
        <v>8326</v>
      </c>
      <c r="G139" s="359">
        <v>8326</v>
      </c>
      <c r="H139" s="359"/>
      <c r="I139" s="359"/>
      <c r="J139" s="360"/>
      <c r="K139" s="404"/>
      <c r="L139" s="404"/>
      <c r="M139" s="404"/>
      <c r="N139" s="404"/>
    </row>
    <row r="140" spans="1:226" s="354" customFormat="1" ht="19.5" customHeight="1">
      <c r="A140" s="1547"/>
      <c r="B140" s="1548"/>
      <c r="C140" s="1570"/>
      <c r="D140" s="1572"/>
      <c r="E140" s="361" t="s">
        <v>318</v>
      </c>
      <c r="F140" s="356">
        <f>SUM(F141:F143)</f>
        <v>0</v>
      </c>
      <c r="G140" s="356">
        <f>SUM(G141:G143)</f>
        <v>0</v>
      </c>
      <c r="H140" s="356">
        <f>SUM(H141:H143)</f>
        <v>0</v>
      </c>
      <c r="I140" s="356">
        <f>SUM(I141:I143)</f>
        <v>0</v>
      </c>
      <c r="J140" s="357">
        <f>SUM(J141:J143)</f>
        <v>0</v>
      </c>
      <c r="K140" s="353"/>
    </row>
    <row r="141" spans="1:226" s="354" customFormat="1" ht="15" hidden="1" customHeight="1">
      <c r="A141" s="1547"/>
      <c r="B141" s="1548"/>
      <c r="C141" s="1570"/>
      <c r="D141" s="1572"/>
      <c r="E141" s="358"/>
      <c r="F141" s="359">
        <f>SUM(G141:J141)</f>
        <v>0</v>
      </c>
      <c r="G141" s="359"/>
      <c r="H141" s="359"/>
      <c r="I141" s="359"/>
      <c r="J141" s="360"/>
      <c r="K141" s="353"/>
    </row>
    <row r="142" spans="1:226" s="354" customFormat="1" ht="15" hidden="1" customHeight="1">
      <c r="A142" s="1547"/>
      <c r="B142" s="1548"/>
      <c r="C142" s="1570"/>
      <c r="D142" s="1572"/>
      <c r="E142" s="358"/>
      <c r="F142" s="359"/>
      <c r="G142" s="359"/>
      <c r="H142" s="359"/>
      <c r="I142" s="359"/>
      <c r="J142" s="360"/>
      <c r="K142" s="353"/>
    </row>
    <row r="143" spans="1:226" s="354" customFormat="1" ht="15" hidden="1" customHeight="1">
      <c r="A143" s="1547"/>
      <c r="B143" s="1548"/>
      <c r="C143" s="1570"/>
      <c r="D143" s="1572"/>
      <c r="E143" s="396"/>
      <c r="F143" s="359">
        <f>SUM(G143:J143)</f>
        <v>0</v>
      </c>
      <c r="G143" s="359"/>
      <c r="H143" s="359"/>
      <c r="I143" s="359"/>
      <c r="J143" s="360"/>
      <c r="K143" s="353"/>
    </row>
    <row r="144" spans="1:226" s="354" customFormat="1" ht="24.95" customHeight="1">
      <c r="A144" s="1547" t="s">
        <v>383</v>
      </c>
      <c r="B144" s="1548" t="s">
        <v>384</v>
      </c>
      <c r="C144" s="1570">
        <v>750</v>
      </c>
      <c r="D144" s="1572" t="s">
        <v>331</v>
      </c>
      <c r="E144" s="350" t="s">
        <v>315</v>
      </c>
      <c r="F144" s="351">
        <f>SUM(F145,F154)</f>
        <v>300000</v>
      </c>
      <c r="G144" s="351">
        <f>SUM(G145,G154)</f>
        <v>45000</v>
      </c>
      <c r="H144" s="351">
        <f>SUM(H145,H154)</f>
        <v>0</v>
      </c>
      <c r="I144" s="351">
        <f>SUM(I145,I154)</f>
        <v>255000</v>
      </c>
      <c r="J144" s="352">
        <f>SUM(J145,J154)</f>
        <v>0</v>
      </c>
      <c r="K144" s="353"/>
    </row>
    <row r="145" spans="1:226" s="354" customFormat="1" ht="21.75" customHeight="1">
      <c r="A145" s="1547"/>
      <c r="B145" s="1548"/>
      <c r="C145" s="1570"/>
      <c r="D145" s="1572"/>
      <c r="E145" s="355" t="s">
        <v>332</v>
      </c>
      <c r="F145" s="356">
        <f>SUM(F146,F149)</f>
        <v>300000</v>
      </c>
      <c r="G145" s="356">
        <f>SUM(G146,G149)</f>
        <v>45000</v>
      </c>
      <c r="H145" s="356">
        <f>SUM(H146,H149)</f>
        <v>0</v>
      </c>
      <c r="I145" s="356">
        <f>SUM(I146,I149)</f>
        <v>255000</v>
      </c>
      <c r="J145" s="357">
        <f>SUM(J146,J149)</f>
        <v>0</v>
      </c>
      <c r="K145" s="353"/>
    </row>
    <row r="146" spans="1:226" s="354" customFormat="1" ht="24.95" customHeight="1">
      <c r="A146" s="1547"/>
      <c r="B146" s="1548"/>
      <c r="C146" s="1570"/>
      <c r="D146" s="1572"/>
      <c r="E146" s="393" t="s">
        <v>333</v>
      </c>
      <c r="F146" s="394">
        <f>SUM(F147:F148)</f>
        <v>70000</v>
      </c>
      <c r="G146" s="394">
        <f>SUM(G147:G148)</f>
        <v>10500</v>
      </c>
      <c r="H146" s="394">
        <f>SUM(H147:H148)</f>
        <v>0</v>
      </c>
      <c r="I146" s="394">
        <f>SUM(I147:I148)</f>
        <v>59500</v>
      </c>
      <c r="J146" s="395">
        <f>SUM(J147:J148)</f>
        <v>0</v>
      </c>
      <c r="K146" s="404"/>
    </row>
    <row r="147" spans="1:226" s="354" customFormat="1" ht="15" customHeight="1">
      <c r="A147" s="1547"/>
      <c r="B147" s="1548"/>
      <c r="C147" s="1570"/>
      <c r="D147" s="1572"/>
      <c r="E147" s="358" t="s">
        <v>336</v>
      </c>
      <c r="F147" s="359">
        <f>SUM(G147:J147)</f>
        <v>59500</v>
      </c>
      <c r="G147" s="359"/>
      <c r="H147" s="359"/>
      <c r="I147" s="359">
        <v>59500</v>
      </c>
      <c r="J147" s="360"/>
      <c r="K147" s="353"/>
    </row>
    <row r="148" spans="1:226" s="354" customFormat="1" ht="15" customHeight="1">
      <c r="A148" s="1547"/>
      <c r="B148" s="1548"/>
      <c r="C148" s="1570"/>
      <c r="D148" s="1572"/>
      <c r="E148" s="358" t="s">
        <v>337</v>
      </c>
      <c r="F148" s="359">
        <f>SUM(G148:J148)</f>
        <v>10500</v>
      </c>
      <c r="G148" s="359">
        <v>10500</v>
      </c>
      <c r="H148" s="359"/>
      <c r="I148" s="359"/>
      <c r="J148" s="360"/>
      <c r="K148" s="353"/>
    </row>
    <row r="149" spans="1:226" s="354" customFormat="1" ht="21.75" customHeight="1">
      <c r="A149" s="1547"/>
      <c r="B149" s="1548"/>
      <c r="C149" s="1570"/>
      <c r="D149" s="1572"/>
      <c r="E149" s="393" t="s">
        <v>338</v>
      </c>
      <c r="F149" s="394">
        <f>SUM(F150:F153)</f>
        <v>230000</v>
      </c>
      <c r="G149" s="394">
        <f>SUM(G150:G153)</f>
        <v>34500</v>
      </c>
      <c r="H149" s="394">
        <f>SUM(H150:H153)</f>
        <v>0</v>
      </c>
      <c r="I149" s="394">
        <f>SUM(I150:I153)</f>
        <v>195500</v>
      </c>
      <c r="J149" s="395">
        <f>SUM(J150:J153)</f>
        <v>0</v>
      </c>
      <c r="K149" s="353"/>
      <c r="L149" s="353"/>
      <c r="M149" s="353"/>
      <c r="N149" s="353"/>
      <c r="O149" s="353"/>
      <c r="P149" s="353"/>
      <c r="Q149" s="353"/>
      <c r="R149" s="353"/>
      <c r="S149" s="353"/>
      <c r="T149" s="353"/>
      <c r="U149" s="353"/>
      <c r="V149" s="353"/>
      <c r="W149" s="353"/>
      <c r="X149" s="353"/>
      <c r="Y149" s="353"/>
      <c r="Z149" s="353"/>
      <c r="AA149" s="353"/>
      <c r="AB149" s="353"/>
      <c r="AC149" s="353"/>
      <c r="AD149" s="353"/>
      <c r="AE149" s="353"/>
      <c r="AF149" s="353"/>
      <c r="AG149" s="353"/>
      <c r="AH149" s="353"/>
      <c r="AI149" s="353"/>
      <c r="AJ149" s="353"/>
      <c r="AK149" s="353"/>
      <c r="AL149" s="353"/>
      <c r="AM149" s="353"/>
      <c r="AN149" s="353"/>
      <c r="AO149" s="353"/>
      <c r="AP149" s="353"/>
      <c r="AQ149" s="353"/>
      <c r="AR149" s="353"/>
      <c r="AS149" s="353"/>
      <c r="AT149" s="353"/>
      <c r="AU149" s="353"/>
      <c r="AV149" s="353"/>
      <c r="AW149" s="353"/>
      <c r="AX149" s="353"/>
      <c r="AY149" s="353"/>
      <c r="AZ149" s="353"/>
      <c r="BA149" s="353"/>
      <c r="BB149" s="353"/>
      <c r="BC149" s="353"/>
      <c r="BD149" s="353"/>
      <c r="BE149" s="353"/>
      <c r="BF149" s="353"/>
      <c r="BG149" s="353"/>
      <c r="BH149" s="353"/>
      <c r="BI149" s="353"/>
      <c r="BJ149" s="353"/>
      <c r="BK149" s="353"/>
      <c r="BL149" s="353"/>
      <c r="BM149" s="353"/>
      <c r="BN149" s="353"/>
      <c r="BO149" s="353"/>
      <c r="BP149" s="353"/>
      <c r="BQ149" s="353"/>
      <c r="BR149" s="353"/>
      <c r="BS149" s="353"/>
      <c r="BT149" s="353"/>
      <c r="BU149" s="353"/>
      <c r="BV149" s="353"/>
      <c r="BW149" s="353"/>
      <c r="BX149" s="353"/>
      <c r="BY149" s="353"/>
      <c r="BZ149" s="353"/>
      <c r="CA149" s="353"/>
      <c r="CB149" s="353"/>
      <c r="CC149" s="353"/>
      <c r="CD149" s="353"/>
      <c r="CE149" s="353"/>
      <c r="CF149" s="353"/>
      <c r="CG149" s="353"/>
      <c r="CH149" s="353"/>
      <c r="CI149" s="353"/>
      <c r="CJ149" s="353"/>
      <c r="CK149" s="353"/>
      <c r="CL149" s="353"/>
      <c r="CM149" s="353"/>
      <c r="CN149" s="353"/>
      <c r="CO149" s="353"/>
      <c r="CP149" s="353"/>
      <c r="CQ149" s="353"/>
      <c r="CR149" s="353"/>
      <c r="CS149" s="353"/>
      <c r="CT149" s="353"/>
      <c r="CU149" s="353"/>
      <c r="CV149" s="353"/>
      <c r="CW149" s="353"/>
      <c r="CX149" s="353"/>
      <c r="CY149" s="353"/>
      <c r="CZ149" s="353"/>
      <c r="DA149" s="353"/>
      <c r="DB149" s="353"/>
      <c r="DC149" s="353"/>
      <c r="DD149" s="353"/>
      <c r="DE149" s="353"/>
      <c r="DF149" s="353"/>
      <c r="DG149" s="353"/>
      <c r="DH149" s="353"/>
      <c r="DI149" s="353"/>
      <c r="DJ149" s="353"/>
      <c r="DK149" s="353"/>
      <c r="DL149" s="353"/>
      <c r="DM149" s="353"/>
      <c r="DN149" s="353"/>
      <c r="DO149" s="353"/>
      <c r="DP149" s="353"/>
      <c r="DQ149" s="353"/>
      <c r="DR149" s="353"/>
      <c r="DS149" s="353"/>
      <c r="DT149" s="353"/>
      <c r="DU149" s="353"/>
      <c r="DV149" s="353"/>
      <c r="DW149" s="353"/>
      <c r="DX149" s="353"/>
      <c r="DY149" s="353"/>
      <c r="DZ149" s="353"/>
      <c r="EA149" s="353"/>
      <c r="EB149" s="353"/>
      <c r="EC149" s="353"/>
      <c r="ED149" s="353"/>
      <c r="EE149" s="353"/>
      <c r="EF149" s="353"/>
      <c r="EG149" s="353"/>
      <c r="EH149" s="353"/>
      <c r="EI149" s="353"/>
      <c r="EJ149" s="353"/>
      <c r="EK149" s="353"/>
      <c r="EL149" s="353"/>
      <c r="EM149" s="353"/>
      <c r="EN149" s="353"/>
      <c r="EO149" s="353"/>
      <c r="EP149" s="353"/>
      <c r="EQ149" s="353"/>
      <c r="ER149" s="353"/>
      <c r="ES149" s="353"/>
      <c r="ET149" s="353"/>
      <c r="EU149" s="353"/>
      <c r="EV149" s="353"/>
      <c r="EW149" s="353"/>
      <c r="EX149" s="353"/>
      <c r="EY149" s="353"/>
      <c r="EZ149" s="353"/>
      <c r="FA149" s="353"/>
      <c r="FB149" s="353"/>
      <c r="FC149" s="353"/>
      <c r="FD149" s="353"/>
      <c r="FE149" s="353"/>
      <c r="FF149" s="353"/>
      <c r="FG149" s="353"/>
      <c r="FH149" s="353"/>
      <c r="FI149" s="353"/>
      <c r="FJ149" s="353"/>
      <c r="FK149" s="353"/>
      <c r="FL149" s="353"/>
      <c r="FM149" s="353"/>
      <c r="FN149" s="353"/>
      <c r="FO149" s="353"/>
      <c r="FP149" s="353"/>
      <c r="FQ149" s="353"/>
      <c r="FR149" s="353"/>
      <c r="FS149" s="353"/>
      <c r="FT149" s="353"/>
      <c r="FU149" s="353"/>
      <c r="FV149" s="353"/>
      <c r="FW149" s="353"/>
      <c r="FX149" s="353"/>
      <c r="FY149" s="353"/>
      <c r="FZ149" s="353"/>
      <c r="GA149" s="353"/>
      <c r="GB149" s="353"/>
      <c r="GC149" s="353"/>
      <c r="GD149" s="353"/>
      <c r="GE149" s="353"/>
      <c r="GF149" s="353"/>
      <c r="GG149" s="353"/>
      <c r="GH149" s="353"/>
      <c r="GI149" s="353"/>
      <c r="GJ149" s="353"/>
      <c r="GK149" s="353"/>
      <c r="GL149" s="353"/>
      <c r="GM149" s="353"/>
      <c r="GN149" s="353"/>
      <c r="GO149" s="353"/>
      <c r="GP149" s="353"/>
      <c r="GQ149" s="353"/>
      <c r="GR149" s="353"/>
      <c r="GS149" s="353"/>
      <c r="GT149" s="353"/>
      <c r="GU149" s="353"/>
      <c r="GV149" s="353"/>
      <c r="GW149" s="353"/>
      <c r="GX149" s="353"/>
      <c r="GY149" s="353"/>
      <c r="GZ149" s="353"/>
      <c r="HA149" s="353"/>
      <c r="HB149" s="353"/>
      <c r="HC149" s="353"/>
      <c r="HD149" s="353"/>
      <c r="HE149" s="353"/>
      <c r="HF149" s="353"/>
      <c r="HG149" s="353"/>
      <c r="HH149" s="353"/>
      <c r="HI149" s="353"/>
      <c r="HJ149" s="353"/>
      <c r="HK149" s="353"/>
      <c r="HL149" s="353"/>
      <c r="HM149" s="353"/>
      <c r="HN149" s="353"/>
      <c r="HO149" s="353"/>
      <c r="HP149" s="353"/>
      <c r="HQ149" s="353"/>
      <c r="HR149" s="353"/>
    </row>
    <row r="150" spans="1:226" s="354" customFormat="1" ht="15" customHeight="1">
      <c r="A150" s="1547"/>
      <c r="B150" s="1548"/>
      <c r="C150" s="1570"/>
      <c r="D150" s="1572"/>
      <c r="E150" s="358" t="s">
        <v>341</v>
      </c>
      <c r="F150" s="359">
        <f>SUM(G150:J150)</f>
        <v>25500</v>
      </c>
      <c r="G150" s="359"/>
      <c r="H150" s="359"/>
      <c r="I150" s="359">
        <v>25500</v>
      </c>
      <c r="J150" s="360"/>
      <c r="K150" s="353"/>
    </row>
    <row r="151" spans="1:226" s="354" customFormat="1" ht="15" customHeight="1">
      <c r="A151" s="1547"/>
      <c r="B151" s="1548"/>
      <c r="C151" s="1570"/>
      <c r="D151" s="1572"/>
      <c r="E151" s="358" t="s">
        <v>342</v>
      </c>
      <c r="F151" s="359">
        <f>SUM(G151:J151)</f>
        <v>4500</v>
      </c>
      <c r="G151" s="359">
        <v>4500</v>
      </c>
      <c r="H151" s="359"/>
      <c r="I151" s="359"/>
      <c r="J151" s="360"/>
      <c r="K151" s="353"/>
    </row>
    <row r="152" spans="1:226" s="354" customFormat="1" ht="15" customHeight="1">
      <c r="A152" s="1547"/>
      <c r="B152" s="1548"/>
      <c r="C152" s="1570"/>
      <c r="D152" s="1572"/>
      <c r="E152" s="358" t="s">
        <v>354</v>
      </c>
      <c r="F152" s="359">
        <f>SUM(G152:J152)</f>
        <v>170000</v>
      </c>
      <c r="G152" s="359"/>
      <c r="H152" s="359"/>
      <c r="I152" s="359">
        <v>170000</v>
      </c>
      <c r="J152" s="360"/>
      <c r="K152" s="353"/>
    </row>
    <row r="153" spans="1:226" s="354" customFormat="1" ht="15" customHeight="1">
      <c r="A153" s="1547"/>
      <c r="B153" s="1548"/>
      <c r="C153" s="1570"/>
      <c r="D153" s="1572"/>
      <c r="E153" s="358" t="s">
        <v>355</v>
      </c>
      <c r="F153" s="359">
        <f>SUM(G153:J153)</f>
        <v>30000</v>
      </c>
      <c r="G153" s="359">
        <v>30000</v>
      </c>
      <c r="H153" s="359"/>
      <c r="I153" s="359"/>
      <c r="J153" s="360"/>
      <c r="K153" s="353"/>
    </row>
    <row r="154" spans="1:226" s="354" customFormat="1" ht="19.5" customHeight="1">
      <c r="A154" s="1547"/>
      <c r="B154" s="1548"/>
      <c r="C154" s="1570"/>
      <c r="D154" s="1572"/>
      <c r="E154" s="361" t="s">
        <v>318</v>
      </c>
      <c r="F154" s="356">
        <f>SUM(F155:F156)</f>
        <v>0</v>
      </c>
      <c r="G154" s="356">
        <f>SUM(G155:G156)</f>
        <v>0</v>
      </c>
      <c r="H154" s="356">
        <f>SUM(H155:H156)</f>
        <v>0</v>
      </c>
      <c r="I154" s="356">
        <f>SUM(I155:I156)</f>
        <v>0</v>
      </c>
      <c r="J154" s="357">
        <f>SUM(J155:J156)</f>
        <v>0</v>
      </c>
      <c r="K154" s="353"/>
    </row>
    <row r="155" spans="1:226" s="354" customFormat="1" ht="15" hidden="1" customHeight="1">
      <c r="A155" s="1547"/>
      <c r="B155" s="1548"/>
      <c r="C155" s="1570"/>
      <c r="D155" s="1572"/>
      <c r="E155" s="358"/>
      <c r="F155" s="359">
        <f>SUM(G155:J155)</f>
        <v>0</v>
      </c>
      <c r="G155" s="359"/>
      <c r="H155" s="359"/>
      <c r="I155" s="359"/>
      <c r="J155" s="360"/>
      <c r="K155" s="353"/>
    </row>
    <row r="156" spans="1:226" s="354" customFormat="1" ht="15" hidden="1" customHeight="1">
      <c r="A156" s="1547"/>
      <c r="B156" s="1548"/>
      <c r="C156" s="1570"/>
      <c r="D156" s="1572"/>
      <c r="E156" s="396"/>
      <c r="F156" s="359">
        <f>SUM(G156:J156)</f>
        <v>0</v>
      </c>
      <c r="G156" s="359"/>
      <c r="H156" s="359"/>
      <c r="I156" s="359"/>
      <c r="J156" s="360"/>
      <c r="K156" s="353"/>
    </row>
    <row r="157" spans="1:226" s="354" customFormat="1" ht="24.95" customHeight="1">
      <c r="A157" s="1556" t="s">
        <v>385</v>
      </c>
      <c r="B157" s="1559" t="s">
        <v>386</v>
      </c>
      <c r="C157" s="1562">
        <v>750</v>
      </c>
      <c r="D157" s="1565" t="s">
        <v>331</v>
      </c>
      <c r="E157" s="350" t="s">
        <v>315</v>
      </c>
      <c r="F157" s="351">
        <f>SUM(F158,F173)</f>
        <v>299000</v>
      </c>
      <c r="G157" s="351">
        <f>SUM(G158,G173)</f>
        <v>44850</v>
      </c>
      <c r="H157" s="351">
        <f>SUM(H158,H173)</f>
        <v>0</v>
      </c>
      <c r="I157" s="351">
        <f>SUM(I158,I173)</f>
        <v>254150</v>
      </c>
      <c r="J157" s="352">
        <f>SUM(J158,J173)</f>
        <v>0</v>
      </c>
      <c r="K157" s="353"/>
    </row>
    <row r="158" spans="1:226" s="354" customFormat="1" ht="21">
      <c r="A158" s="1557"/>
      <c r="B158" s="1560"/>
      <c r="C158" s="1563"/>
      <c r="D158" s="1566"/>
      <c r="E158" s="355" t="s">
        <v>332</v>
      </c>
      <c r="F158" s="356">
        <f>SUM(F159,F164)</f>
        <v>299000</v>
      </c>
      <c r="G158" s="356">
        <f>SUM(G159,G164)</f>
        <v>44850</v>
      </c>
      <c r="H158" s="356">
        <f>SUM(H159,H164)</f>
        <v>0</v>
      </c>
      <c r="I158" s="356">
        <f>SUM(I159,I164)</f>
        <v>254150</v>
      </c>
      <c r="J158" s="357">
        <f>SUM(J159,J164)</f>
        <v>0</v>
      </c>
      <c r="K158" s="353"/>
    </row>
    <row r="159" spans="1:226" s="354" customFormat="1" ht="24.95" customHeight="1">
      <c r="A159" s="1557"/>
      <c r="B159" s="1560"/>
      <c r="C159" s="1563"/>
      <c r="D159" s="1566"/>
      <c r="E159" s="393" t="s">
        <v>333</v>
      </c>
      <c r="F159" s="394">
        <f>SUM(F160:F163)</f>
        <v>12000</v>
      </c>
      <c r="G159" s="394">
        <f>SUM(G160:G163)</f>
        <v>1800</v>
      </c>
      <c r="H159" s="394">
        <f>SUM(H160:H163)</f>
        <v>0</v>
      </c>
      <c r="I159" s="394">
        <f>SUM(I160:I163)</f>
        <v>10200</v>
      </c>
      <c r="J159" s="395">
        <f>SUM(J160:J163)</f>
        <v>0</v>
      </c>
      <c r="K159" s="353"/>
    </row>
    <row r="160" spans="1:226" s="354" customFormat="1" ht="15" hidden="1" customHeight="1">
      <c r="A160" s="1557"/>
      <c r="B160" s="1560"/>
      <c r="C160" s="1563"/>
      <c r="D160" s="1566"/>
      <c r="E160" s="358" t="s">
        <v>334</v>
      </c>
      <c r="F160" s="359">
        <f>SUM(G160:J160)</f>
        <v>0</v>
      </c>
      <c r="G160" s="359"/>
      <c r="H160" s="359"/>
      <c r="I160" s="359"/>
      <c r="J160" s="360"/>
      <c r="K160" s="353"/>
    </row>
    <row r="161" spans="1:226" s="354" customFormat="1" ht="15" hidden="1" customHeight="1">
      <c r="A161" s="1557"/>
      <c r="B161" s="1560"/>
      <c r="C161" s="1563"/>
      <c r="D161" s="1566"/>
      <c r="E161" s="358" t="s">
        <v>335</v>
      </c>
      <c r="F161" s="359">
        <f>SUM(G161:J161)</f>
        <v>0</v>
      </c>
      <c r="G161" s="359"/>
      <c r="H161" s="359"/>
      <c r="I161" s="359"/>
      <c r="J161" s="360"/>
      <c r="K161" s="353"/>
    </row>
    <row r="162" spans="1:226" s="354" customFormat="1" ht="15" customHeight="1">
      <c r="A162" s="1557"/>
      <c r="B162" s="1560"/>
      <c r="C162" s="1563"/>
      <c r="D162" s="1566"/>
      <c r="E162" s="358" t="s">
        <v>336</v>
      </c>
      <c r="F162" s="359">
        <f>SUM(G162:J162)</f>
        <v>10200</v>
      </c>
      <c r="G162" s="359"/>
      <c r="H162" s="359"/>
      <c r="I162" s="359">
        <v>10200</v>
      </c>
      <c r="J162" s="360"/>
      <c r="K162" s="353"/>
    </row>
    <row r="163" spans="1:226" s="354" customFormat="1" ht="15" customHeight="1">
      <c r="A163" s="1557"/>
      <c r="B163" s="1560"/>
      <c r="C163" s="1563"/>
      <c r="D163" s="1566"/>
      <c r="E163" s="358" t="s">
        <v>337</v>
      </c>
      <c r="F163" s="359">
        <f>SUM(G163:J163)</f>
        <v>1800</v>
      </c>
      <c r="G163" s="359">
        <v>1800</v>
      </c>
      <c r="H163" s="359"/>
      <c r="I163" s="359"/>
      <c r="J163" s="360"/>
      <c r="K163" s="353"/>
    </row>
    <row r="164" spans="1:226" s="354" customFormat="1" ht="20.25" customHeight="1">
      <c r="A164" s="1557"/>
      <c r="B164" s="1560"/>
      <c r="C164" s="1563"/>
      <c r="D164" s="1566"/>
      <c r="E164" s="393" t="s">
        <v>338</v>
      </c>
      <c r="F164" s="394">
        <f>SUM(F165:F172)</f>
        <v>287000</v>
      </c>
      <c r="G164" s="394">
        <f>SUM(G165:G172)</f>
        <v>43050</v>
      </c>
      <c r="H164" s="394">
        <f>SUM(H165:H172)</f>
        <v>0</v>
      </c>
      <c r="I164" s="394">
        <f>SUM(I165:I172)</f>
        <v>243950</v>
      </c>
      <c r="J164" s="395">
        <f>SUM(J165:J172)</f>
        <v>0</v>
      </c>
      <c r="K164" s="353"/>
      <c r="L164" s="353"/>
      <c r="M164" s="353"/>
      <c r="N164" s="353"/>
      <c r="O164" s="353"/>
      <c r="P164" s="353"/>
      <c r="Q164" s="353"/>
      <c r="R164" s="353"/>
      <c r="S164" s="353"/>
      <c r="T164" s="353"/>
      <c r="U164" s="353"/>
      <c r="V164" s="353"/>
      <c r="W164" s="353"/>
      <c r="X164" s="353"/>
      <c r="Y164" s="353"/>
      <c r="Z164" s="353"/>
      <c r="AA164" s="353"/>
      <c r="AB164" s="353"/>
      <c r="AC164" s="353"/>
      <c r="AD164" s="353"/>
      <c r="AE164" s="353"/>
      <c r="AF164" s="353"/>
      <c r="AG164" s="353"/>
      <c r="AH164" s="353"/>
      <c r="AI164" s="353"/>
      <c r="AJ164" s="353"/>
      <c r="AK164" s="353"/>
      <c r="AL164" s="353"/>
      <c r="AM164" s="353"/>
      <c r="AN164" s="353"/>
      <c r="AO164" s="353"/>
      <c r="AP164" s="353"/>
      <c r="AQ164" s="353"/>
      <c r="AR164" s="353"/>
      <c r="AS164" s="353"/>
      <c r="AT164" s="353"/>
      <c r="AU164" s="353"/>
      <c r="AV164" s="353"/>
      <c r="AW164" s="353"/>
      <c r="AX164" s="353"/>
      <c r="AY164" s="353"/>
      <c r="AZ164" s="353"/>
      <c r="BA164" s="353"/>
      <c r="BB164" s="353"/>
      <c r="BC164" s="353"/>
      <c r="BD164" s="353"/>
      <c r="BE164" s="353"/>
      <c r="BF164" s="353"/>
      <c r="BG164" s="353"/>
      <c r="BH164" s="353"/>
      <c r="BI164" s="353"/>
      <c r="BJ164" s="353"/>
      <c r="BK164" s="353"/>
      <c r="BL164" s="353"/>
      <c r="BM164" s="353"/>
      <c r="BN164" s="353"/>
      <c r="BO164" s="353"/>
      <c r="BP164" s="353"/>
      <c r="BQ164" s="353"/>
      <c r="BR164" s="353"/>
      <c r="BS164" s="353"/>
      <c r="BT164" s="353"/>
      <c r="BU164" s="353"/>
      <c r="BV164" s="353"/>
      <c r="BW164" s="353"/>
      <c r="BX164" s="353"/>
      <c r="BY164" s="353"/>
      <c r="BZ164" s="353"/>
      <c r="CA164" s="353"/>
      <c r="CB164" s="353"/>
      <c r="CC164" s="353"/>
      <c r="CD164" s="353"/>
      <c r="CE164" s="353"/>
      <c r="CF164" s="353"/>
      <c r="CG164" s="353"/>
      <c r="CH164" s="353"/>
      <c r="CI164" s="353"/>
      <c r="CJ164" s="353"/>
      <c r="CK164" s="353"/>
      <c r="CL164" s="353"/>
      <c r="CM164" s="353"/>
      <c r="CN164" s="353"/>
      <c r="CO164" s="353"/>
      <c r="CP164" s="353"/>
      <c r="CQ164" s="353"/>
      <c r="CR164" s="353"/>
      <c r="CS164" s="353"/>
      <c r="CT164" s="353"/>
      <c r="CU164" s="353"/>
      <c r="CV164" s="353"/>
      <c r="CW164" s="353"/>
      <c r="CX164" s="353"/>
      <c r="CY164" s="353"/>
      <c r="CZ164" s="353"/>
      <c r="DA164" s="353"/>
      <c r="DB164" s="353"/>
      <c r="DC164" s="353"/>
      <c r="DD164" s="353"/>
      <c r="DE164" s="353"/>
      <c r="DF164" s="353"/>
      <c r="DG164" s="353"/>
      <c r="DH164" s="353"/>
      <c r="DI164" s="353"/>
      <c r="DJ164" s="353"/>
      <c r="DK164" s="353"/>
      <c r="DL164" s="353"/>
      <c r="DM164" s="353"/>
      <c r="DN164" s="353"/>
      <c r="DO164" s="353"/>
      <c r="DP164" s="353"/>
      <c r="DQ164" s="353"/>
      <c r="DR164" s="353"/>
      <c r="DS164" s="353"/>
      <c r="DT164" s="353"/>
      <c r="DU164" s="353"/>
      <c r="DV164" s="353"/>
      <c r="DW164" s="353"/>
      <c r="DX164" s="353"/>
      <c r="DY164" s="353"/>
      <c r="DZ164" s="353"/>
      <c r="EA164" s="353"/>
      <c r="EB164" s="353"/>
      <c r="EC164" s="353"/>
      <c r="ED164" s="353"/>
      <c r="EE164" s="353"/>
      <c r="EF164" s="353"/>
      <c r="EG164" s="353"/>
      <c r="EH164" s="353"/>
      <c r="EI164" s="353"/>
      <c r="EJ164" s="353"/>
      <c r="EK164" s="353"/>
      <c r="EL164" s="353"/>
      <c r="EM164" s="353"/>
      <c r="EN164" s="353"/>
      <c r="EO164" s="353"/>
      <c r="EP164" s="353"/>
      <c r="EQ164" s="353"/>
      <c r="ER164" s="353"/>
      <c r="ES164" s="353"/>
      <c r="ET164" s="353"/>
      <c r="EU164" s="353"/>
      <c r="EV164" s="353"/>
      <c r="EW164" s="353"/>
      <c r="EX164" s="353"/>
      <c r="EY164" s="353"/>
      <c r="EZ164" s="353"/>
      <c r="FA164" s="353"/>
      <c r="FB164" s="353"/>
      <c r="FC164" s="353"/>
      <c r="FD164" s="353"/>
      <c r="FE164" s="353"/>
      <c r="FF164" s="353"/>
      <c r="FG164" s="353"/>
      <c r="FH164" s="353"/>
      <c r="FI164" s="353"/>
      <c r="FJ164" s="353"/>
      <c r="FK164" s="353"/>
      <c r="FL164" s="353"/>
      <c r="FM164" s="353"/>
      <c r="FN164" s="353"/>
      <c r="FO164" s="353"/>
      <c r="FP164" s="353"/>
      <c r="FQ164" s="353"/>
      <c r="FR164" s="353"/>
      <c r="FS164" s="353"/>
      <c r="FT164" s="353"/>
      <c r="FU164" s="353"/>
      <c r="FV164" s="353"/>
      <c r="FW164" s="353"/>
      <c r="FX164" s="353"/>
      <c r="FY164" s="353"/>
      <c r="FZ164" s="353"/>
      <c r="GA164" s="353"/>
      <c r="GB164" s="353"/>
      <c r="GC164" s="353"/>
      <c r="GD164" s="353"/>
      <c r="GE164" s="353"/>
      <c r="GF164" s="353"/>
      <c r="GG164" s="353"/>
      <c r="GH164" s="353"/>
      <c r="GI164" s="353"/>
      <c r="GJ164" s="353"/>
      <c r="GK164" s="353"/>
      <c r="GL164" s="353"/>
      <c r="GM164" s="353"/>
      <c r="GN164" s="353"/>
      <c r="GO164" s="353"/>
      <c r="GP164" s="353"/>
      <c r="GQ164" s="353"/>
      <c r="GR164" s="353"/>
      <c r="GS164" s="353"/>
      <c r="GT164" s="353"/>
      <c r="GU164" s="353"/>
      <c r="GV164" s="353"/>
      <c r="GW164" s="353"/>
      <c r="GX164" s="353"/>
      <c r="GY164" s="353"/>
      <c r="GZ164" s="353"/>
      <c r="HA164" s="353"/>
      <c r="HB164" s="353"/>
      <c r="HC164" s="353"/>
      <c r="HD164" s="353"/>
      <c r="HE164" s="353"/>
      <c r="HF164" s="353"/>
      <c r="HG164" s="353"/>
      <c r="HH164" s="353"/>
      <c r="HI164" s="353"/>
      <c r="HJ164" s="353"/>
      <c r="HK164" s="353"/>
      <c r="HL164" s="353"/>
      <c r="HM164" s="353"/>
      <c r="HN164" s="353"/>
      <c r="HO164" s="353"/>
      <c r="HP164" s="353"/>
      <c r="HQ164" s="353"/>
      <c r="HR164" s="353"/>
    </row>
    <row r="165" spans="1:226" s="354" customFormat="1" ht="15" customHeight="1">
      <c r="A165" s="1557"/>
      <c r="B165" s="1560"/>
      <c r="C165" s="1563"/>
      <c r="D165" s="1566"/>
      <c r="E165" s="358" t="s">
        <v>341</v>
      </c>
      <c r="F165" s="359">
        <f>SUM(G165:J165)</f>
        <v>5100</v>
      </c>
      <c r="G165" s="359"/>
      <c r="H165" s="359"/>
      <c r="I165" s="359">
        <v>5100</v>
      </c>
      <c r="J165" s="360"/>
      <c r="K165" s="353"/>
    </row>
    <row r="166" spans="1:226" s="354" customFormat="1" ht="15" customHeight="1">
      <c r="A166" s="1557"/>
      <c r="B166" s="1560"/>
      <c r="C166" s="1563"/>
      <c r="D166" s="1566"/>
      <c r="E166" s="358" t="s">
        <v>342</v>
      </c>
      <c r="F166" s="359">
        <f t="shared" ref="F166:F171" si="13">SUM(G166:J166)</f>
        <v>900</v>
      </c>
      <c r="G166" s="359">
        <v>900</v>
      </c>
      <c r="H166" s="359"/>
      <c r="I166" s="359"/>
      <c r="J166" s="360"/>
      <c r="K166" s="353"/>
    </row>
    <row r="167" spans="1:226" s="354" customFormat="1" ht="15" customHeight="1">
      <c r="A167" s="1557"/>
      <c r="B167" s="1560"/>
      <c r="C167" s="1563"/>
      <c r="D167" s="1566"/>
      <c r="E167" s="358" t="s">
        <v>343</v>
      </c>
      <c r="F167" s="359">
        <f t="shared" si="13"/>
        <v>17850</v>
      </c>
      <c r="G167" s="359"/>
      <c r="H167" s="359"/>
      <c r="I167" s="359">
        <v>17850</v>
      </c>
      <c r="J167" s="360"/>
      <c r="K167" s="353"/>
    </row>
    <row r="168" spans="1:226" s="354" customFormat="1" ht="15" customHeight="1">
      <c r="A168" s="1557"/>
      <c r="B168" s="1560"/>
      <c r="C168" s="1563"/>
      <c r="D168" s="1566"/>
      <c r="E168" s="358" t="s">
        <v>344</v>
      </c>
      <c r="F168" s="359">
        <f t="shared" si="13"/>
        <v>3150</v>
      </c>
      <c r="G168" s="359">
        <v>3150</v>
      </c>
      <c r="H168" s="359"/>
      <c r="I168" s="359"/>
      <c r="J168" s="360"/>
      <c r="K168" s="353"/>
    </row>
    <row r="169" spans="1:226" s="354" customFormat="1" ht="15" customHeight="1">
      <c r="A169" s="1557"/>
      <c r="B169" s="1560"/>
      <c r="C169" s="1563"/>
      <c r="D169" s="1566"/>
      <c r="E169" s="358" t="s">
        <v>354</v>
      </c>
      <c r="F169" s="359">
        <f t="shared" si="13"/>
        <v>51000</v>
      </c>
      <c r="G169" s="359"/>
      <c r="H169" s="359"/>
      <c r="I169" s="359">
        <v>51000</v>
      </c>
      <c r="J169" s="360"/>
      <c r="K169" s="353"/>
    </row>
    <row r="170" spans="1:226" s="354" customFormat="1" ht="15" customHeight="1">
      <c r="A170" s="1557"/>
      <c r="B170" s="1560"/>
      <c r="C170" s="1563"/>
      <c r="D170" s="1566"/>
      <c r="E170" s="358" t="s">
        <v>355</v>
      </c>
      <c r="F170" s="359">
        <f t="shared" si="13"/>
        <v>9000</v>
      </c>
      <c r="G170" s="359">
        <v>9000</v>
      </c>
      <c r="H170" s="359"/>
      <c r="I170" s="359"/>
      <c r="J170" s="360"/>
      <c r="K170" s="353"/>
    </row>
    <row r="171" spans="1:226" s="354" customFormat="1" ht="15" customHeight="1">
      <c r="A171" s="1557"/>
      <c r="B171" s="1560"/>
      <c r="C171" s="1563"/>
      <c r="D171" s="1566"/>
      <c r="E171" s="358" t="s">
        <v>349</v>
      </c>
      <c r="F171" s="359">
        <f t="shared" si="13"/>
        <v>170000</v>
      </c>
      <c r="G171" s="359"/>
      <c r="H171" s="359"/>
      <c r="I171" s="359">
        <v>170000</v>
      </c>
      <c r="J171" s="360"/>
      <c r="K171" s="353"/>
    </row>
    <row r="172" spans="1:226" s="354" customFormat="1" ht="15" customHeight="1">
      <c r="A172" s="1557"/>
      <c r="B172" s="1560"/>
      <c r="C172" s="1563"/>
      <c r="D172" s="1566"/>
      <c r="E172" s="358" t="s">
        <v>350</v>
      </c>
      <c r="F172" s="359">
        <f>SUM(G172:J172)</f>
        <v>30000</v>
      </c>
      <c r="G172" s="359">
        <v>30000</v>
      </c>
      <c r="H172" s="359"/>
      <c r="I172" s="359"/>
      <c r="J172" s="360"/>
      <c r="K172" s="353"/>
    </row>
    <row r="173" spans="1:226" s="354" customFormat="1" ht="18" customHeight="1">
      <c r="A173" s="1558"/>
      <c r="B173" s="1561"/>
      <c r="C173" s="1564"/>
      <c r="D173" s="1567"/>
      <c r="E173" s="361" t="s">
        <v>318</v>
      </c>
      <c r="F173" s="356">
        <f>SUM(F174:F175)</f>
        <v>0</v>
      </c>
      <c r="G173" s="356">
        <f>SUM(G174:G175)</f>
        <v>0</v>
      </c>
      <c r="H173" s="356">
        <f>SUM(H174:H175)</f>
        <v>0</v>
      </c>
      <c r="I173" s="356">
        <f>SUM(I174:I175)</f>
        <v>0</v>
      </c>
      <c r="J173" s="357">
        <f>SUM(J174:J175)</f>
        <v>0</v>
      </c>
      <c r="K173" s="353"/>
    </row>
    <row r="174" spans="1:226" s="354" customFormat="1" ht="15" hidden="1" customHeight="1">
      <c r="A174" s="406"/>
      <c r="B174" s="407"/>
      <c r="C174" s="408"/>
      <c r="D174" s="409"/>
      <c r="E174" s="401"/>
      <c r="F174" s="402">
        <f>SUM(G174:J174)</f>
        <v>0</v>
      </c>
      <c r="G174" s="402"/>
      <c r="H174" s="402"/>
      <c r="I174" s="402"/>
      <c r="J174" s="403"/>
      <c r="K174" s="353"/>
    </row>
    <row r="175" spans="1:226" s="354" customFormat="1" ht="15" hidden="1" customHeight="1">
      <c r="A175" s="397"/>
      <c r="B175" s="398"/>
      <c r="C175" s="399"/>
      <c r="D175" s="400"/>
      <c r="E175" s="396"/>
      <c r="F175" s="359">
        <f>SUM(G175:J175)</f>
        <v>0</v>
      </c>
      <c r="G175" s="359"/>
      <c r="H175" s="359"/>
      <c r="I175" s="359"/>
      <c r="J175" s="360"/>
      <c r="K175" s="353"/>
    </row>
    <row r="176" spans="1:226" s="354" customFormat="1" ht="24.95" customHeight="1">
      <c r="A176" s="1556" t="s">
        <v>387</v>
      </c>
      <c r="B176" s="1559" t="s">
        <v>388</v>
      </c>
      <c r="C176" s="1562">
        <v>150</v>
      </c>
      <c r="D176" s="1565" t="s">
        <v>319</v>
      </c>
      <c r="E176" s="350" t="s">
        <v>315</v>
      </c>
      <c r="F176" s="351">
        <f>SUM(F177,F196)</f>
        <v>9661000</v>
      </c>
      <c r="G176" s="351">
        <f>SUM(G177,G196)</f>
        <v>0</v>
      </c>
      <c r="H176" s="351">
        <f>SUM(H177,H196)</f>
        <v>9661000</v>
      </c>
      <c r="I176" s="351">
        <f>SUM(I177,I196)</f>
        <v>0</v>
      </c>
      <c r="J176" s="352">
        <f>SUM(J177,J196)</f>
        <v>0</v>
      </c>
      <c r="K176" s="353"/>
    </row>
    <row r="177" spans="1:226" s="354" customFormat="1" ht="24.95" customHeight="1">
      <c r="A177" s="1557"/>
      <c r="B177" s="1560"/>
      <c r="C177" s="1563"/>
      <c r="D177" s="1566"/>
      <c r="E177" s="355" t="s">
        <v>332</v>
      </c>
      <c r="F177" s="356">
        <f>SUM(F178,F181,F187)</f>
        <v>9161000</v>
      </c>
      <c r="G177" s="356">
        <f>SUM(G178,G181,G187)</f>
        <v>0</v>
      </c>
      <c r="H177" s="356">
        <f>SUM(H178,H181,H187)</f>
        <v>9161000</v>
      </c>
      <c r="I177" s="356">
        <f>SUM(I178,I181,I187)</f>
        <v>0</v>
      </c>
      <c r="J177" s="357">
        <f>SUM(J178,J181,J187)</f>
        <v>0</v>
      </c>
      <c r="K177" s="353"/>
    </row>
    <row r="178" spans="1:226" s="354" customFormat="1" ht="24.95" customHeight="1">
      <c r="A178" s="1557"/>
      <c r="B178" s="1560"/>
      <c r="C178" s="1563"/>
      <c r="D178" s="1566"/>
      <c r="E178" s="393" t="s">
        <v>389</v>
      </c>
      <c r="F178" s="394">
        <f>SUM(F179:F180)</f>
        <v>8000000</v>
      </c>
      <c r="G178" s="394">
        <f>SUM(G179:G180)</f>
        <v>0</v>
      </c>
      <c r="H178" s="394">
        <f>SUM(H179:H180)</f>
        <v>8000000</v>
      </c>
      <c r="I178" s="394">
        <f>SUM(I179:I180)</f>
        <v>0</v>
      </c>
      <c r="J178" s="395">
        <f>SUM(J179:J180)</f>
        <v>0</v>
      </c>
      <c r="K178" s="353"/>
    </row>
    <row r="179" spans="1:226" s="354" customFormat="1" ht="15" customHeight="1">
      <c r="A179" s="1557"/>
      <c r="B179" s="1560"/>
      <c r="C179" s="1563"/>
      <c r="D179" s="1566"/>
      <c r="E179" s="358" t="s">
        <v>390</v>
      </c>
      <c r="F179" s="359">
        <f>SUM(G179:J179)</f>
        <v>8000000</v>
      </c>
      <c r="G179" s="359"/>
      <c r="H179" s="359">
        <v>8000000</v>
      </c>
      <c r="I179" s="359"/>
      <c r="J179" s="360"/>
      <c r="K179" s="353"/>
    </row>
    <row r="180" spans="1:226" s="354" customFormat="1" ht="15" hidden="1" customHeight="1">
      <c r="A180" s="1557"/>
      <c r="B180" s="1560"/>
      <c r="C180" s="1563"/>
      <c r="D180" s="1566"/>
      <c r="E180" s="358"/>
      <c r="F180" s="359">
        <f>SUM(G180:J180)</f>
        <v>0</v>
      </c>
      <c r="G180" s="359"/>
      <c r="H180" s="359"/>
      <c r="I180" s="359"/>
      <c r="J180" s="360"/>
      <c r="K180" s="353"/>
    </row>
    <row r="181" spans="1:226" s="354" customFormat="1" ht="24.95" customHeight="1">
      <c r="A181" s="1557"/>
      <c r="B181" s="1560"/>
      <c r="C181" s="1563"/>
      <c r="D181" s="1566"/>
      <c r="E181" s="393" t="s">
        <v>333</v>
      </c>
      <c r="F181" s="394">
        <f>SUM(F182:F186)</f>
        <v>925000</v>
      </c>
      <c r="G181" s="394">
        <f>SUM(G182:G186)</f>
        <v>0</v>
      </c>
      <c r="H181" s="394">
        <f>SUM(H182:H186)</f>
        <v>925000</v>
      </c>
      <c r="I181" s="394">
        <f>SUM(I182:I186)</f>
        <v>0</v>
      </c>
      <c r="J181" s="395">
        <f>SUM(J182:J186)</f>
        <v>0</v>
      </c>
      <c r="K181" s="353"/>
    </row>
    <row r="182" spans="1:226" s="354" customFormat="1" ht="15" customHeight="1">
      <c r="A182" s="1557"/>
      <c r="B182" s="1560"/>
      <c r="C182" s="1563"/>
      <c r="D182" s="1566"/>
      <c r="E182" s="358" t="s">
        <v>391</v>
      </c>
      <c r="F182" s="359">
        <f>SUM(G182:J182)</f>
        <v>543000</v>
      </c>
      <c r="G182" s="359"/>
      <c r="H182" s="359">
        <v>543000</v>
      </c>
      <c r="I182" s="359"/>
      <c r="J182" s="360"/>
      <c r="K182" s="353"/>
    </row>
    <row r="183" spans="1:226" s="354" customFormat="1" ht="15" customHeight="1">
      <c r="A183" s="1557"/>
      <c r="B183" s="1560"/>
      <c r="C183" s="1563"/>
      <c r="D183" s="1566"/>
      <c r="E183" s="358" t="s">
        <v>392</v>
      </c>
      <c r="F183" s="359">
        <f t="shared" ref="F183:F185" si="14">SUM(G183:J183)</f>
        <v>43000</v>
      </c>
      <c r="G183" s="359"/>
      <c r="H183" s="359">
        <v>43000</v>
      </c>
      <c r="I183" s="359"/>
      <c r="J183" s="360"/>
      <c r="K183" s="353"/>
    </row>
    <row r="184" spans="1:226" s="354" customFormat="1" ht="15" customHeight="1">
      <c r="A184" s="1557"/>
      <c r="B184" s="1560"/>
      <c r="C184" s="1563"/>
      <c r="D184" s="1566"/>
      <c r="E184" s="358" t="s">
        <v>393</v>
      </c>
      <c r="F184" s="359">
        <f t="shared" si="14"/>
        <v>26000</v>
      </c>
      <c r="G184" s="359"/>
      <c r="H184" s="359">
        <v>26000</v>
      </c>
      <c r="I184" s="359"/>
      <c r="J184" s="360"/>
      <c r="K184" s="353"/>
    </row>
    <row r="185" spans="1:226" s="354" customFormat="1" ht="15" customHeight="1">
      <c r="A185" s="1557"/>
      <c r="B185" s="1560"/>
      <c r="C185" s="1563"/>
      <c r="D185" s="1566"/>
      <c r="E185" s="358" t="s">
        <v>394</v>
      </c>
      <c r="F185" s="359">
        <f t="shared" si="14"/>
        <v>13000</v>
      </c>
      <c r="G185" s="359"/>
      <c r="H185" s="359">
        <v>13000</v>
      </c>
      <c r="I185" s="359"/>
      <c r="J185" s="360"/>
      <c r="K185" s="353"/>
    </row>
    <row r="186" spans="1:226" s="354" customFormat="1" ht="15" customHeight="1">
      <c r="A186" s="1557"/>
      <c r="B186" s="1560"/>
      <c r="C186" s="1563"/>
      <c r="D186" s="1566"/>
      <c r="E186" s="358" t="s">
        <v>395</v>
      </c>
      <c r="F186" s="359">
        <f>SUM(G186:J186)</f>
        <v>300000</v>
      </c>
      <c r="G186" s="359"/>
      <c r="H186" s="359">
        <v>300000</v>
      </c>
      <c r="I186" s="359"/>
      <c r="J186" s="360"/>
      <c r="K186" s="353"/>
    </row>
    <row r="187" spans="1:226" s="354" customFormat="1" ht="24.95" customHeight="1">
      <c r="A187" s="1557"/>
      <c r="B187" s="1560"/>
      <c r="C187" s="1563"/>
      <c r="D187" s="1566"/>
      <c r="E187" s="393" t="s">
        <v>338</v>
      </c>
      <c r="F187" s="394">
        <f>SUM(F188:F195)</f>
        <v>236000</v>
      </c>
      <c r="G187" s="394">
        <f>SUM(G188:G195)</f>
        <v>0</v>
      </c>
      <c r="H187" s="394">
        <f>SUM(H188:H195)</f>
        <v>236000</v>
      </c>
      <c r="I187" s="394">
        <f>SUM(I188:I195)</f>
        <v>0</v>
      </c>
      <c r="J187" s="395">
        <f>SUM(J188:J195)</f>
        <v>0</v>
      </c>
      <c r="K187" s="353"/>
      <c r="L187" s="353"/>
      <c r="M187" s="353"/>
      <c r="N187" s="353"/>
      <c r="O187" s="353"/>
      <c r="P187" s="353"/>
      <c r="Q187" s="353"/>
      <c r="R187" s="353"/>
      <c r="S187" s="353"/>
      <c r="T187" s="353"/>
      <c r="U187" s="353"/>
      <c r="V187" s="353"/>
      <c r="W187" s="353"/>
      <c r="X187" s="353"/>
      <c r="Y187" s="353"/>
      <c r="Z187" s="353"/>
      <c r="AA187" s="353"/>
      <c r="AB187" s="353"/>
      <c r="AC187" s="353"/>
      <c r="AD187" s="353"/>
      <c r="AE187" s="353"/>
      <c r="AF187" s="353"/>
      <c r="AG187" s="353"/>
      <c r="AH187" s="353"/>
      <c r="AI187" s="353"/>
      <c r="AJ187" s="353"/>
      <c r="AK187" s="353"/>
      <c r="AL187" s="353"/>
      <c r="AM187" s="353"/>
      <c r="AN187" s="353"/>
      <c r="AO187" s="353"/>
      <c r="AP187" s="353"/>
      <c r="AQ187" s="353"/>
      <c r="AR187" s="353"/>
      <c r="AS187" s="353"/>
      <c r="AT187" s="353"/>
      <c r="AU187" s="353"/>
      <c r="AV187" s="353"/>
      <c r="AW187" s="353"/>
      <c r="AX187" s="353"/>
      <c r="AY187" s="353"/>
      <c r="AZ187" s="353"/>
      <c r="BA187" s="353"/>
      <c r="BB187" s="353"/>
      <c r="BC187" s="353"/>
      <c r="BD187" s="353"/>
      <c r="BE187" s="353"/>
      <c r="BF187" s="353"/>
      <c r="BG187" s="353"/>
      <c r="BH187" s="353"/>
      <c r="BI187" s="353"/>
      <c r="BJ187" s="353"/>
      <c r="BK187" s="353"/>
      <c r="BL187" s="353"/>
      <c r="BM187" s="353"/>
      <c r="BN187" s="353"/>
      <c r="BO187" s="353"/>
      <c r="BP187" s="353"/>
      <c r="BQ187" s="353"/>
      <c r="BR187" s="353"/>
      <c r="BS187" s="353"/>
      <c r="BT187" s="353"/>
      <c r="BU187" s="353"/>
      <c r="BV187" s="353"/>
      <c r="BW187" s="353"/>
      <c r="BX187" s="353"/>
      <c r="BY187" s="353"/>
      <c r="BZ187" s="353"/>
      <c r="CA187" s="353"/>
      <c r="CB187" s="353"/>
      <c r="CC187" s="353"/>
      <c r="CD187" s="353"/>
      <c r="CE187" s="353"/>
      <c r="CF187" s="353"/>
      <c r="CG187" s="353"/>
      <c r="CH187" s="353"/>
      <c r="CI187" s="353"/>
      <c r="CJ187" s="353"/>
      <c r="CK187" s="353"/>
      <c r="CL187" s="353"/>
      <c r="CM187" s="353"/>
      <c r="CN187" s="353"/>
      <c r="CO187" s="353"/>
      <c r="CP187" s="353"/>
      <c r="CQ187" s="353"/>
      <c r="CR187" s="353"/>
      <c r="CS187" s="353"/>
      <c r="CT187" s="353"/>
      <c r="CU187" s="353"/>
      <c r="CV187" s="353"/>
      <c r="CW187" s="353"/>
      <c r="CX187" s="353"/>
      <c r="CY187" s="353"/>
      <c r="CZ187" s="353"/>
      <c r="DA187" s="353"/>
      <c r="DB187" s="353"/>
      <c r="DC187" s="353"/>
      <c r="DD187" s="353"/>
      <c r="DE187" s="353"/>
      <c r="DF187" s="353"/>
      <c r="DG187" s="353"/>
      <c r="DH187" s="353"/>
      <c r="DI187" s="353"/>
      <c r="DJ187" s="353"/>
      <c r="DK187" s="353"/>
      <c r="DL187" s="353"/>
      <c r="DM187" s="353"/>
      <c r="DN187" s="353"/>
      <c r="DO187" s="353"/>
      <c r="DP187" s="353"/>
      <c r="DQ187" s="353"/>
      <c r="DR187" s="353"/>
      <c r="DS187" s="353"/>
      <c r="DT187" s="353"/>
      <c r="DU187" s="353"/>
      <c r="DV187" s="353"/>
      <c r="DW187" s="353"/>
      <c r="DX187" s="353"/>
      <c r="DY187" s="353"/>
      <c r="DZ187" s="353"/>
      <c r="EA187" s="353"/>
      <c r="EB187" s="353"/>
      <c r="EC187" s="353"/>
      <c r="ED187" s="353"/>
      <c r="EE187" s="353"/>
      <c r="EF187" s="353"/>
      <c r="EG187" s="353"/>
      <c r="EH187" s="353"/>
      <c r="EI187" s="353"/>
      <c r="EJ187" s="353"/>
      <c r="EK187" s="353"/>
      <c r="EL187" s="353"/>
      <c r="EM187" s="353"/>
      <c r="EN187" s="353"/>
      <c r="EO187" s="353"/>
      <c r="EP187" s="353"/>
      <c r="EQ187" s="353"/>
      <c r="ER187" s="353"/>
      <c r="ES187" s="353"/>
      <c r="ET187" s="353"/>
      <c r="EU187" s="353"/>
      <c r="EV187" s="353"/>
      <c r="EW187" s="353"/>
      <c r="EX187" s="353"/>
      <c r="EY187" s="353"/>
      <c r="EZ187" s="353"/>
      <c r="FA187" s="353"/>
      <c r="FB187" s="353"/>
      <c r="FC187" s="353"/>
      <c r="FD187" s="353"/>
      <c r="FE187" s="353"/>
      <c r="FF187" s="353"/>
      <c r="FG187" s="353"/>
      <c r="FH187" s="353"/>
      <c r="FI187" s="353"/>
      <c r="FJ187" s="353"/>
      <c r="FK187" s="353"/>
      <c r="FL187" s="353"/>
      <c r="FM187" s="353"/>
      <c r="FN187" s="353"/>
      <c r="FO187" s="353"/>
      <c r="FP187" s="353"/>
      <c r="FQ187" s="353"/>
      <c r="FR187" s="353"/>
      <c r="FS187" s="353"/>
      <c r="FT187" s="353"/>
      <c r="FU187" s="353"/>
      <c r="FV187" s="353"/>
      <c r="FW187" s="353"/>
      <c r="FX187" s="353"/>
      <c r="FY187" s="353"/>
      <c r="FZ187" s="353"/>
      <c r="GA187" s="353"/>
      <c r="GB187" s="353"/>
      <c r="GC187" s="353"/>
      <c r="GD187" s="353"/>
      <c r="GE187" s="353"/>
      <c r="GF187" s="353"/>
      <c r="GG187" s="353"/>
      <c r="GH187" s="353"/>
      <c r="GI187" s="353"/>
      <c r="GJ187" s="353"/>
      <c r="GK187" s="353"/>
      <c r="GL187" s="353"/>
      <c r="GM187" s="353"/>
      <c r="GN187" s="353"/>
      <c r="GO187" s="353"/>
      <c r="GP187" s="353"/>
      <c r="GQ187" s="353"/>
      <c r="GR187" s="353"/>
      <c r="GS187" s="353"/>
      <c r="GT187" s="353"/>
      <c r="GU187" s="353"/>
      <c r="GV187" s="353"/>
      <c r="GW187" s="353"/>
      <c r="GX187" s="353"/>
      <c r="GY187" s="353"/>
      <c r="GZ187" s="353"/>
      <c r="HA187" s="353"/>
      <c r="HB187" s="353"/>
      <c r="HC187" s="353"/>
      <c r="HD187" s="353"/>
      <c r="HE187" s="353"/>
      <c r="HF187" s="353"/>
      <c r="HG187" s="353"/>
      <c r="HH187" s="353"/>
      <c r="HI187" s="353"/>
      <c r="HJ187" s="353"/>
      <c r="HK187" s="353"/>
      <c r="HL187" s="353"/>
      <c r="HM187" s="353"/>
      <c r="HN187" s="353"/>
      <c r="HO187" s="353"/>
      <c r="HP187" s="353"/>
      <c r="HQ187" s="353"/>
      <c r="HR187" s="353"/>
    </row>
    <row r="188" spans="1:226" s="354" customFormat="1" ht="15" customHeight="1">
      <c r="A188" s="1557"/>
      <c r="B188" s="1560"/>
      <c r="C188" s="1563"/>
      <c r="D188" s="1566"/>
      <c r="E188" s="358" t="s">
        <v>396</v>
      </c>
      <c r="F188" s="359">
        <f>SUM(G188:J188)</f>
        <v>50000</v>
      </c>
      <c r="G188" s="359"/>
      <c r="H188" s="359">
        <v>50000</v>
      </c>
      <c r="I188" s="359"/>
      <c r="J188" s="360"/>
      <c r="K188" s="353"/>
    </row>
    <row r="189" spans="1:226" s="354" customFormat="1" ht="15" customHeight="1">
      <c r="A189" s="1557"/>
      <c r="B189" s="1560"/>
      <c r="C189" s="1563"/>
      <c r="D189" s="1566"/>
      <c r="E189" s="358" t="s">
        <v>397</v>
      </c>
      <c r="F189" s="359">
        <f t="shared" ref="F189:F194" si="15">SUM(G189:J189)</f>
        <v>40000</v>
      </c>
      <c r="G189" s="359"/>
      <c r="H189" s="359">
        <v>40000</v>
      </c>
      <c r="I189" s="359"/>
      <c r="J189" s="360"/>
      <c r="K189" s="353"/>
    </row>
    <row r="190" spans="1:226" s="354" customFormat="1" ht="15" customHeight="1">
      <c r="A190" s="1557"/>
      <c r="B190" s="1560"/>
      <c r="C190" s="1563"/>
      <c r="D190" s="1566"/>
      <c r="E190" s="358" t="s">
        <v>398</v>
      </c>
      <c r="F190" s="359">
        <f t="shared" si="15"/>
        <v>10000</v>
      </c>
      <c r="G190" s="359"/>
      <c r="H190" s="359">
        <v>10000</v>
      </c>
      <c r="I190" s="359"/>
      <c r="J190" s="360"/>
      <c r="K190" s="353"/>
    </row>
    <row r="191" spans="1:226" s="354" customFormat="1" ht="15" customHeight="1">
      <c r="A191" s="1557"/>
      <c r="B191" s="1560"/>
      <c r="C191" s="1563"/>
      <c r="D191" s="1566"/>
      <c r="E191" s="358" t="s">
        <v>399</v>
      </c>
      <c r="F191" s="359">
        <f t="shared" si="15"/>
        <v>50000</v>
      </c>
      <c r="G191" s="359"/>
      <c r="H191" s="359">
        <v>50000</v>
      </c>
      <c r="I191" s="359"/>
      <c r="J191" s="360"/>
      <c r="K191" s="353"/>
    </row>
    <row r="192" spans="1:226" s="354" customFormat="1" ht="15" customHeight="1">
      <c r="A192" s="1557"/>
      <c r="B192" s="1560"/>
      <c r="C192" s="1563"/>
      <c r="D192" s="1566"/>
      <c r="E192" s="358" t="s">
        <v>400</v>
      </c>
      <c r="F192" s="359">
        <f t="shared" si="15"/>
        <v>20000</v>
      </c>
      <c r="G192" s="359"/>
      <c r="H192" s="359">
        <v>20000</v>
      </c>
      <c r="I192" s="359"/>
      <c r="J192" s="360"/>
      <c r="K192" s="353"/>
    </row>
    <row r="193" spans="1:226" s="354" customFormat="1" ht="15" customHeight="1">
      <c r="A193" s="1557"/>
      <c r="B193" s="1560"/>
      <c r="C193" s="1563"/>
      <c r="D193" s="1566"/>
      <c r="E193" s="358" t="s">
        <v>401</v>
      </c>
      <c r="F193" s="359">
        <f t="shared" si="15"/>
        <v>3000</v>
      </c>
      <c r="G193" s="359"/>
      <c r="H193" s="359">
        <v>3000</v>
      </c>
      <c r="I193" s="359"/>
      <c r="J193" s="360"/>
      <c r="K193" s="353"/>
    </row>
    <row r="194" spans="1:226" s="354" customFormat="1" ht="15" customHeight="1">
      <c r="A194" s="1557"/>
      <c r="B194" s="1560"/>
      <c r="C194" s="1563"/>
      <c r="D194" s="1566"/>
      <c r="E194" s="358" t="s">
        <v>402</v>
      </c>
      <c r="F194" s="359">
        <f t="shared" si="15"/>
        <v>13000</v>
      </c>
      <c r="G194" s="359"/>
      <c r="H194" s="359">
        <v>13000</v>
      </c>
      <c r="I194" s="359"/>
      <c r="J194" s="360"/>
      <c r="K194" s="353"/>
    </row>
    <row r="195" spans="1:226" s="354" customFormat="1" ht="15" customHeight="1">
      <c r="A195" s="1557"/>
      <c r="B195" s="1560"/>
      <c r="C195" s="1563"/>
      <c r="D195" s="1566"/>
      <c r="E195" s="358" t="s">
        <v>403</v>
      </c>
      <c r="F195" s="359">
        <f>SUM(G195:J195)</f>
        <v>50000</v>
      </c>
      <c r="G195" s="359"/>
      <c r="H195" s="359">
        <v>50000</v>
      </c>
      <c r="I195" s="359"/>
      <c r="J195" s="360"/>
      <c r="K195" s="353"/>
    </row>
    <row r="196" spans="1:226" s="354" customFormat="1" ht="24.95" customHeight="1">
      <c r="A196" s="1557"/>
      <c r="B196" s="1560"/>
      <c r="C196" s="1563"/>
      <c r="D196" s="1566"/>
      <c r="E196" s="361" t="s">
        <v>318</v>
      </c>
      <c r="F196" s="356">
        <f>SUM(F197:F197)</f>
        <v>500000</v>
      </c>
      <c r="G196" s="356">
        <f>SUM(G197:G197)</f>
        <v>0</v>
      </c>
      <c r="H196" s="356">
        <f>SUM(H197:H197)</f>
        <v>500000</v>
      </c>
      <c r="I196" s="356">
        <f>SUM(I197:I197)</f>
        <v>0</v>
      </c>
      <c r="J196" s="357">
        <f>SUM(J197:J197)</f>
        <v>0</v>
      </c>
      <c r="K196" s="353"/>
    </row>
    <row r="197" spans="1:226" s="354" customFormat="1" ht="16.5" customHeight="1">
      <c r="A197" s="1557"/>
      <c r="B197" s="1560"/>
      <c r="C197" s="1563"/>
      <c r="D197" s="1566"/>
      <c r="E197" s="358" t="s">
        <v>321</v>
      </c>
      <c r="F197" s="359">
        <f>SUM(G197:J197)</f>
        <v>500000</v>
      </c>
      <c r="G197" s="359"/>
      <c r="H197" s="359">
        <v>500000</v>
      </c>
      <c r="I197" s="359"/>
      <c r="J197" s="360"/>
      <c r="K197" s="353"/>
    </row>
    <row r="198" spans="1:226" s="354" customFormat="1" ht="24.95" customHeight="1">
      <c r="A198" s="1547" t="s">
        <v>404</v>
      </c>
      <c r="B198" s="1548" t="s">
        <v>405</v>
      </c>
      <c r="C198" s="1570">
        <v>600</v>
      </c>
      <c r="D198" s="1572" t="s">
        <v>126</v>
      </c>
      <c r="E198" s="350" t="s">
        <v>315</v>
      </c>
      <c r="F198" s="351">
        <f>SUM(F199,F208)</f>
        <v>128121474</v>
      </c>
      <c r="G198" s="351">
        <f>SUM(G199,G208)</f>
        <v>39517774</v>
      </c>
      <c r="H198" s="351">
        <f>SUM(H199,H208)</f>
        <v>88603700</v>
      </c>
      <c r="I198" s="351">
        <f>SUM(I199,I208)</f>
        <v>0</v>
      </c>
      <c r="J198" s="352">
        <f>SUM(J199,J208)</f>
        <v>0</v>
      </c>
      <c r="K198" s="353"/>
    </row>
    <row r="199" spans="1:226" s="354" customFormat="1" ht="24.95" customHeight="1">
      <c r="A199" s="1547"/>
      <c r="B199" s="1548"/>
      <c r="C199" s="1570"/>
      <c r="D199" s="1572"/>
      <c r="E199" s="355" t="s">
        <v>332</v>
      </c>
      <c r="F199" s="356">
        <f>SUM(F200,F204)</f>
        <v>1621472</v>
      </c>
      <c r="G199" s="356">
        <f>SUM(G200,G204)</f>
        <v>436472</v>
      </c>
      <c r="H199" s="356">
        <f>SUM(H200,H204)</f>
        <v>1185000</v>
      </c>
      <c r="I199" s="356">
        <f>SUM(I200,I204)</f>
        <v>0</v>
      </c>
      <c r="J199" s="357">
        <f>SUM(J200,J204)</f>
        <v>0</v>
      </c>
      <c r="K199" s="353"/>
    </row>
    <row r="200" spans="1:226" s="354" customFormat="1" ht="24.95" hidden="1" customHeight="1">
      <c r="A200" s="1547"/>
      <c r="B200" s="1548"/>
      <c r="C200" s="1570"/>
      <c r="D200" s="1572"/>
      <c r="E200" s="393" t="s">
        <v>333</v>
      </c>
      <c r="F200" s="394">
        <f>SUM(F201:F203)</f>
        <v>0</v>
      </c>
      <c r="G200" s="394">
        <f>SUM(G201:G203)</f>
        <v>0</v>
      </c>
      <c r="H200" s="394">
        <f>SUM(H201:H203)</f>
        <v>0</v>
      </c>
      <c r="I200" s="394">
        <f>SUM(I201:I203)</f>
        <v>0</v>
      </c>
      <c r="J200" s="395">
        <f>SUM(J201:J203)</f>
        <v>0</v>
      </c>
      <c r="K200" s="353"/>
    </row>
    <row r="201" spans="1:226" s="354" customFormat="1" ht="15" hidden="1" customHeight="1">
      <c r="A201" s="1547"/>
      <c r="B201" s="1548"/>
      <c r="C201" s="1570"/>
      <c r="D201" s="1572"/>
      <c r="E201" s="358"/>
      <c r="F201" s="359">
        <f>SUM(G201:J201)</f>
        <v>0</v>
      </c>
      <c r="G201" s="359"/>
      <c r="H201" s="359"/>
      <c r="I201" s="359"/>
      <c r="J201" s="360"/>
      <c r="K201" s="353"/>
    </row>
    <row r="202" spans="1:226" s="354" customFormat="1" ht="15" hidden="1" customHeight="1">
      <c r="A202" s="1547"/>
      <c r="B202" s="1548"/>
      <c r="C202" s="1570"/>
      <c r="D202" s="1572"/>
      <c r="E202" s="358"/>
      <c r="F202" s="359">
        <f>SUM(G202:J202)</f>
        <v>0</v>
      </c>
      <c r="G202" s="359"/>
      <c r="H202" s="359"/>
      <c r="I202" s="359"/>
      <c r="J202" s="360"/>
      <c r="K202" s="353"/>
    </row>
    <row r="203" spans="1:226" s="354" customFormat="1" ht="15" hidden="1" customHeight="1">
      <c r="A203" s="1547"/>
      <c r="B203" s="1548"/>
      <c r="C203" s="1570"/>
      <c r="D203" s="1572"/>
      <c r="E203" s="358"/>
      <c r="F203" s="359">
        <f>SUM(G203:J203)</f>
        <v>0</v>
      </c>
      <c r="G203" s="359"/>
      <c r="H203" s="359"/>
      <c r="I203" s="359"/>
      <c r="J203" s="360"/>
      <c r="K203" s="353"/>
    </row>
    <row r="204" spans="1:226" s="354" customFormat="1" ht="24.95" customHeight="1">
      <c r="A204" s="1547"/>
      <c r="B204" s="1548"/>
      <c r="C204" s="1570"/>
      <c r="D204" s="1572"/>
      <c r="E204" s="393" t="s">
        <v>338</v>
      </c>
      <c r="F204" s="394">
        <f>SUM(F205:F207)</f>
        <v>1621472</v>
      </c>
      <c r="G204" s="394">
        <f>SUM(G205:G207)</f>
        <v>436472</v>
      </c>
      <c r="H204" s="394">
        <f>SUM(H205:H207)</f>
        <v>1185000</v>
      </c>
      <c r="I204" s="394">
        <f>SUM(I205:I207)</f>
        <v>0</v>
      </c>
      <c r="J204" s="395">
        <f>SUM(J205:J207)</f>
        <v>0</v>
      </c>
      <c r="K204" s="353"/>
      <c r="L204" s="353"/>
      <c r="M204" s="353"/>
      <c r="N204" s="353"/>
      <c r="O204" s="353"/>
      <c r="P204" s="353"/>
      <c r="Q204" s="353"/>
      <c r="R204" s="353"/>
      <c r="S204" s="353"/>
      <c r="T204" s="353"/>
      <c r="U204" s="353"/>
      <c r="V204" s="353"/>
      <c r="W204" s="353"/>
      <c r="X204" s="353"/>
      <c r="Y204" s="353"/>
      <c r="Z204" s="353"/>
      <c r="AA204" s="353"/>
      <c r="AB204" s="353"/>
      <c r="AC204" s="353"/>
      <c r="AD204" s="353"/>
      <c r="AE204" s="353"/>
      <c r="AF204" s="353"/>
      <c r="AG204" s="353"/>
      <c r="AH204" s="353"/>
      <c r="AI204" s="353"/>
      <c r="AJ204" s="353"/>
      <c r="AK204" s="353"/>
      <c r="AL204" s="353"/>
      <c r="AM204" s="353"/>
      <c r="AN204" s="353"/>
      <c r="AO204" s="353"/>
      <c r="AP204" s="353"/>
      <c r="AQ204" s="353"/>
      <c r="AR204" s="353"/>
      <c r="AS204" s="353"/>
      <c r="AT204" s="353"/>
      <c r="AU204" s="353"/>
      <c r="AV204" s="353"/>
      <c r="AW204" s="353"/>
      <c r="AX204" s="353"/>
      <c r="AY204" s="353"/>
      <c r="AZ204" s="353"/>
      <c r="BA204" s="353"/>
      <c r="BB204" s="353"/>
      <c r="BC204" s="353"/>
      <c r="BD204" s="353"/>
      <c r="BE204" s="353"/>
      <c r="BF204" s="353"/>
      <c r="BG204" s="353"/>
      <c r="BH204" s="353"/>
      <c r="BI204" s="353"/>
      <c r="BJ204" s="353"/>
      <c r="BK204" s="353"/>
      <c r="BL204" s="353"/>
      <c r="BM204" s="353"/>
      <c r="BN204" s="353"/>
      <c r="BO204" s="353"/>
      <c r="BP204" s="353"/>
      <c r="BQ204" s="353"/>
      <c r="BR204" s="353"/>
      <c r="BS204" s="353"/>
      <c r="BT204" s="353"/>
      <c r="BU204" s="353"/>
      <c r="BV204" s="353"/>
      <c r="BW204" s="353"/>
      <c r="BX204" s="353"/>
      <c r="BY204" s="353"/>
      <c r="BZ204" s="353"/>
      <c r="CA204" s="353"/>
      <c r="CB204" s="353"/>
      <c r="CC204" s="353"/>
      <c r="CD204" s="353"/>
      <c r="CE204" s="353"/>
      <c r="CF204" s="353"/>
      <c r="CG204" s="353"/>
      <c r="CH204" s="353"/>
      <c r="CI204" s="353"/>
      <c r="CJ204" s="353"/>
      <c r="CK204" s="353"/>
      <c r="CL204" s="353"/>
      <c r="CM204" s="353"/>
      <c r="CN204" s="353"/>
      <c r="CO204" s="353"/>
      <c r="CP204" s="353"/>
      <c r="CQ204" s="353"/>
      <c r="CR204" s="353"/>
      <c r="CS204" s="353"/>
      <c r="CT204" s="353"/>
      <c r="CU204" s="353"/>
      <c r="CV204" s="353"/>
      <c r="CW204" s="353"/>
      <c r="CX204" s="353"/>
      <c r="CY204" s="353"/>
      <c r="CZ204" s="353"/>
      <c r="DA204" s="353"/>
      <c r="DB204" s="353"/>
      <c r="DC204" s="353"/>
      <c r="DD204" s="353"/>
      <c r="DE204" s="353"/>
      <c r="DF204" s="353"/>
      <c r="DG204" s="353"/>
      <c r="DH204" s="353"/>
      <c r="DI204" s="353"/>
      <c r="DJ204" s="353"/>
      <c r="DK204" s="353"/>
      <c r="DL204" s="353"/>
      <c r="DM204" s="353"/>
      <c r="DN204" s="353"/>
      <c r="DO204" s="353"/>
      <c r="DP204" s="353"/>
      <c r="DQ204" s="353"/>
      <c r="DR204" s="353"/>
      <c r="DS204" s="353"/>
      <c r="DT204" s="353"/>
      <c r="DU204" s="353"/>
      <c r="DV204" s="353"/>
      <c r="DW204" s="353"/>
      <c r="DX204" s="353"/>
      <c r="DY204" s="353"/>
      <c r="DZ204" s="353"/>
      <c r="EA204" s="353"/>
      <c r="EB204" s="353"/>
      <c r="EC204" s="353"/>
      <c r="ED204" s="353"/>
      <c r="EE204" s="353"/>
      <c r="EF204" s="353"/>
      <c r="EG204" s="353"/>
      <c r="EH204" s="353"/>
      <c r="EI204" s="353"/>
      <c r="EJ204" s="353"/>
      <c r="EK204" s="353"/>
      <c r="EL204" s="353"/>
      <c r="EM204" s="353"/>
      <c r="EN204" s="353"/>
      <c r="EO204" s="353"/>
      <c r="EP204" s="353"/>
      <c r="EQ204" s="353"/>
      <c r="ER204" s="353"/>
      <c r="ES204" s="353"/>
      <c r="ET204" s="353"/>
      <c r="EU204" s="353"/>
      <c r="EV204" s="353"/>
      <c r="EW204" s="353"/>
      <c r="EX204" s="353"/>
      <c r="EY204" s="353"/>
      <c r="EZ204" s="353"/>
      <c r="FA204" s="353"/>
      <c r="FB204" s="353"/>
      <c r="FC204" s="353"/>
      <c r="FD204" s="353"/>
      <c r="FE204" s="353"/>
      <c r="FF204" s="353"/>
      <c r="FG204" s="353"/>
      <c r="FH204" s="353"/>
      <c r="FI204" s="353"/>
      <c r="FJ204" s="353"/>
      <c r="FK204" s="353"/>
      <c r="FL204" s="353"/>
      <c r="FM204" s="353"/>
      <c r="FN204" s="353"/>
      <c r="FO204" s="353"/>
      <c r="FP204" s="353"/>
      <c r="FQ204" s="353"/>
      <c r="FR204" s="353"/>
      <c r="FS204" s="353"/>
      <c r="FT204" s="353"/>
      <c r="FU204" s="353"/>
      <c r="FV204" s="353"/>
      <c r="FW204" s="353"/>
      <c r="FX204" s="353"/>
      <c r="FY204" s="353"/>
      <c r="FZ204" s="353"/>
      <c r="GA204" s="353"/>
      <c r="GB204" s="353"/>
      <c r="GC204" s="353"/>
      <c r="GD204" s="353"/>
      <c r="GE204" s="353"/>
      <c r="GF204" s="353"/>
      <c r="GG204" s="353"/>
      <c r="GH204" s="353"/>
      <c r="GI204" s="353"/>
      <c r="GJ204" s="353"/>
      <c r="GK204" s="353"/>
      <c r="GL204" s="353"/>
      <c r="GM204" s="353"/>
      <c r="GN204" s="353"/>
      <c r="GO204" s="353"/>
      <c r="GP204" s="353"/>
      <c r="GQ204" s="353"/>
      <c r="GR204" s="353"/>
      <c r="GS204" s="353"/>
      <c r="GT204" s="353"/>
      <c r="GU204" s="353"/>
      <c r="GV204" s="353"/>
      <c r="GW204" s="353"/>
      <c r="GX204" s="353"/>
      <c r="GY204" s="353"/>
      <c r="GZ204" s="353"/>
      <c r="HA204" s="353"/>
      <c r="HB204" s="353"/>
      <c r="HC204" s="353"/>
      <c r="HD204" s="353"/>
      <c r="HE204" s="353"/>
      <c r="HF204" s="353"/>
      <c r="HG204" s="353"/>
      <c r="HH204" s="353"/>
      <c r="HI204" s="353"/>
      <c r="HJ204" s="353"/>
      <c r="HK204" s="353"/>
      <c r="HL204" s="353"/>
      <c r="HM204" s="353"/>
      <c r="HN204" s="353"/>
      <c r="HO204" s="353"/>
      <c r="HP204" s="353"/>
      <c r="HQ204" s="353"/>
      <c r="HR204" s="353"/>
    </row>
    <row r="205" spans="1:226" s="354" customFormat="1" ht="15" customHeight="1">
      <c r="A205" s="1547"/>
      <c r="B205" s="1548"/>
      <c r="C205" s="1570"/>
      <c r="D205" s="1572"/>
      <c r="E205" s="358" t="s">
        <v>406</v>
      </c>
      <c r="F205" s="359">
        <f>SUM(G205:J205)</f>
        <v>258722</v>
      </c>
      <c r="G205" s="359">
        <v>258722</v>
      </c>
      <c r="H205" s="359"/>
      <c r="I205" s="359"/>
      <c r="J205" s="360"/>
      <c r="K205" s="353"/>
    </row>
    <row r="206" spans="1:226" s="354" customFormat="1" ht="15" customHeight="1">
      <c r="A206" s="1547"/>
      <c r="B206" s="1548"/>
      <c r="C206" s="1570"/>
      <c r="D206" s="1572"/>
      <c r="E206" s="358" t="s">
        <v>397</v>
      </c>
      <c r="F206" s="359">
        <f t="shared" ref="F206:F207" si="16">SUM(G206:J206)</f>
        <v>1185000</v>
      </c>
      <c r="G206" s="359"/>
      <c r="H206" s="359">
        <v>1185000</v>
      </c>
      <c r="I206" s="359"/>
      <c r="J206" s="360"/>
      <c r="K206" s="353"/>
    </row>
    <row r="207" spans="1:226" s="354" customFormat="1" ht="15" customHeight="1">
      <c r="A207" s="1547"/>
      <c r="B207" s="1548"/>
      <c r="C207" s="1570"/>
      <c r="D207" s="1572"/>
      <c r="E207" s="358" t="s">
        <v>342</v>
      </c>
      <c r="F207" s="359">
        <f t="shared" si="16"/>
        <v>177750</v>
      </c>
      <c r="G207" s="359">
        <v>177750</v>
      </c>
      <c r="H207" s="359"/>
      <c r="I207" s="359"/>
      <c r="J207" s="360"/>
      <c r="K207" s="353"/>
    </row>
    <row r="208" spans="1:226" s="354" customFormat="1" ht="24.95" customHeight="1">
      <c r="A208" s="1547"/>
      <c r="B208" s="1548"/>
      <c r="C208" s="1570"/>
      <c r="D208" s="1572"/>
      <c r="E208" s="361" t="s">
        <v>318</v>
      </c>
      <c r="F208" s="356">
        <f>SUM(F209:F211)</f>
        <v>126500002</v>
      </c>
      <c r="G208" s="356">
        <f>SUM(G209:G211)</f>
        <v>39081302</v>
      </c>
      <c r="H208" s="356">
        <f>SUM(H209:H211)</f>
        <v>87418700</v>
      </c>
      <c r="I208" s="356">
        <f>SUM(I209:I211)</f>
        <v>0</v>
      </c>
      <c r="J208" s="357">
        <f>SUM(J209:J211)</f>
        <v>0</v>
      </c>
      <c r="K208" s="353"/>
    </row>
    <row r="209" spans="1:226" s="354" customFormat="1" ht="15" customHeight="1">
      <c r="A209" s="1547"/>
      <c r="B209" s="1548"/>
      <c r="C209" s="1570"/>
      <c r="D209" s="1572"/>
      <c r="E209" s="358" t="s">
        <v>407</v>
      </c>
      <c r="F209" s="359">
        <f>SUM(G209:J209)</f>
        <v>23654472</v>
      </c>
      <c r="G209" s="359">
        <v>23654472</v>
      </c>
      <c r="H209" s="359"/>
      <c r="I209" s="359"/>
      <c r="J209" s="360"/>
      <c r="K209" s="353"/>
    </row>
    <row r="210" spans="1:226" s="354" customFormat="1" ht="15" customHeight="1">
      <c r="A210" s="1547"/>
      <c r="B210" s="1548"/>
      <c r="C210" s="1570"/>
      <c r="D210" s="1572"/>
      <c r="E210" s="358" t="s">
        <v>408</v>
      </c>
      <c r="F210" s="359">
        <f>SUM(G210:J210)</f>
        <v>87418700</v>
      </c>
      <c r="G210" s="359"/>
      <c r="H210" s="359">
        <v>87418700</v>
      </c>
      <c r="I210" s="359"/>
      <c r="J210" s="360"/>
      <c r="K210" s="353"/>
    </row>
    <row r="211" spans="1:226" s="354" customFormat="1" ht="15" customHeight="1">
      <c r="A211" s="1547"/>
      <c r="B211" s="1548"/>
      <c r="C211" s="1570"/>
      <c r="D211" s="1572"/>
      <c r="E211" s="396">
        <v>6069</v>
      </c>
      <c r="F211" s="359">
        <f>SUM(G211:J211)</f>
        <v>15426830</v>
      </c>
      <c r="G211" s="359">
        <v>15426830</v>
      </c>
      <c r="H211" s="359"/>
      <c r="I211" s="359"/>
      <c r="J211" s="360"/>
      <c r="K211" s="353"/>
    </row>
    <row r="212" spans="1:226" s="354" customFormat="1" ht="24.95" customHeight="1">
      <c r="A212" s="1547" t="s">
        <v>409</v>
      </c>
      <c r="B212" s="1548" t="s">
        <v>410</v>
      </c>
      <c r="C212" s="1570">
        <v>720</v>
      </c>
      <c r="D212" s="1572" t="s">
        <v>411</v>
      </c>
      <c r="E212" s="350" t="s">
        <v>315</v>
      </c>
      <c r="F212" s="351">
        <f>SUM(F213,F222)</f>
        <v>100843405</v>
      </c>
      <c r="G212" s="351">
        <f>SUM(G213,G222)</f>
        <v>2141445</v>
      </c>
      <c r="H212" s="351">
        <f>SUM(H213,H222)</f>
        <v>98701960</v>
      </c>
      <c r="I212" s="351">
        <f>SUM(I213,I222)</f>
        <v>0</v>
      </c>
      <c r="J212" s="352">
        <f>SUM(J213,J222)</f>
        <v>0</v>
      </c>
      <c r="K212" s="353"/>
    </row>
    <row r="213" spans="1:226" s="354" customFormat="1" ht="24.95" customHeight="1">
      <c r="A213" s="1547"/>
      <c r="B213" s="1548"/>
      <c r="C213" s="1570"/>
      <c r="D213" s="1572"/>
      <c r="E213" s="355" t="s">
        <v>332</v>
      </c>
      <c r="F213" s="356">
        <f>SUM(F214,F218)</f>
        <v>4907303</v>
      </c>
      <c r="G213" s="356">
        <f>SUM(G214,G218)</f>
        <v>0</v>
      </c>
      <c r="H213" s="356">
        <f>SUM(H214,H218)</f>
        <v>4907303</v>
      </c>
      <c r="I213" s="356">
        <f>SUM(I214,I218)</f>
        <v>0</v>
      </c>
      <c r="J213" s="357">
        <f>SUM(J214,J218)</f>
        <v>0</v>
      </c>
      <c r="K213" s="353"/>
    </row>
    <row r="214" spans="1:226" s="354" customFormat="1" ht="24.95" customHeight="1">
      <c r="A214" s="1547"/>
      <c r="B214" s="1548"/>
      <c r="C214" s="1570"/>
      <c r="D214" s="1572"/>
      <c r="E214" s="393" t="s">
        <v>389</v>
      </c>
      <c r="F214" s="394">
        <f>SUM(F215:F217)</f>
        <v>4907303</v>
      </c>
      <c r="G214" s="394">
        <f>SUM(G215:G217)</f>
        <v>0</v>
      </c>
      <c r="H214" s="394">
        <f>SUM(H215:H217)</f>
        <v>4907303</v>
      </c>
      <c r="I214" s="394">
        <f>SUM(I215:I217)</f>
        <v>0</v>
      </c>
      <c r="J214" s="395">
        <f>SUM(J215:J217)</f>
        <v>0</v>
      </c>
      <c r="K214" s="353"/>
    </row>
    <row r="215" spans="1:226" s="354" customFormat="1" ht="15" customHeight="1">
      <c r="A215" s="1547"/>
      <c r="B215" s="1548"/>
      <c r="C215" s="1570"/>
      <c r="D215" s="1572"/>
      <c r="E215" s="358" t="s">
        <v>412</v>
      </c>
      <c r="F215" s="359">
        <f>SUM(G215:J215)</f>
        <v>4907303</v>
      </c>
      <c r="G215" s="359"/>
      <c r="H215" s="359">
        <v>4907303</v>
      </c>
      <c r="I215" s="359"/>
      <c r="J215" s="360"/>
      <c r="K215" s="353"/>
    </row>
    <row r="216" spans="1:226" s="354" customFormat="1" ht="15" hidden="1" customHeight="1">
      <c r="A216" s="1547"/>
      <c r="B216" s="1548"/>
      <c r="C216" s="1570"/>
      <c r="D216" s="1572"/>
      <c r="E216" s="358"/>
      <c r="F216" s="359">
        <f>SUM(G216:J216)</f>
        <v>0</v>
      </c>
      <c r="G216" s="359"/>
      <c r="H216" s="359"/>
      <c r="I216" s="359"/>
      <c r="J216" s="360"/>
      <c r="K216" s="353"/>
    </row>
    <row r="217" spans="1:226" s="354" customFormat="1" ht="15" hidden="1" customHeight="1">
      <c r="A217" s="1547"/>
      <c r="B217" s="1548"/>
      <c r="C217" s="1570"/>
      <c r="D217" s="1572"/>
      <c r="E217" s="358"/>
      <c r="F217" s="359">
        <f>SUM(G217:J217)</f>
        <v>0</v>
      </c>
      <c r="G217" s="359"/>
      <c r="H217" s="359"/>
      <c r="I217" s="359"/>
      <c r="J217" s="360"/>
      <c r="K217" s="353"/>
    </row>
    <row r="218" spans="1:226" s="354" customFormat="1" ht="24.95" hidden="1" customHeight="1">
      <c r="A218" s="1547"/>
      <c r="B218" s="1548"/>
      <c r="C218" s="1570"/>
      <c r="D218" s="1572"/>
      <c r="E218" s="393" t="s">
        <v>338</v>
      </c>
      <c r="F218" s="394">
        <f>SUM(F219:F221)</f>
        <v>0</v>
      </c>
      <c r="G218" s="394">
        <f>SUM(G219:G221)</f>
        <v>0</v>
      </c>
      <c r="H218" s="394">
        <f>SUM(H219:H221)</f>
        <v>0</v>
      </c>
      <c r="I218" s="394">
        <f>SUM(I219:I221)</f>
        <v>0</v>
      </c>
      <c r="J218" s="395">
        <f>SUM(J219:J221)</f>
        <v>0</v>
      </c>
      <c r="K218" s="353"/>
      <c r="L218" s="353"/>
      <c r="M218" s="353"/>
      <c r="N218" s="353"/>
      <c r="O218" s="353"/>
      <c r="P218" s="353"/>
      <c r="Q218" s="353"/>
      <c r="R218" s="353"/>
      <c r="S218" s="353"/>
      <c r="T218" s="353"/>
      <c r="U218" s="353"/>
      <c r="V218" s="353"/>
      <c r="W218" s="353"/>
      <c r="X218" s="353"/>
      <c r="Y218" s="353"/>
      <c r="Z218" s="353"/>
      <c r="AA218" s="353"/>
      <c r="AB218" s="353"/>
      <c r="AC218" s="353"/>
      <c r="AD218" s="353"/>
      <c r="AE218" s="353"/>
      <c r="AF218" s="353"/>
      <c r="AG218" s="353"/>
      <c r="AH218" s="353"/>
      <c r="AI218" s="353"/>
      <c r="AJ218" s="353"/>
      <c r="AK218" s="353"/>
      <c r="AL218" s="353"/>
      <c r="AM218" s="353"/>
      <c r="AN218" s="353"/>
      <c r="AO218" s="353"/>
      <c r="AP218" s="353"/>
      <c r="AQ218" s="353"/>
      <c r="AR218" s="353"/>
      <c r="AS218" s="353"/>
      <c r="AT218" s="353"/>
      <c r="AU218" s="353"/>
      <c r="AV218" s="353"/>
      <c r="AW218" s="353"/>
      <c r="AX218" s="353"/>
      <c r="AY218" s="353"/>
      <c r="AZ218" s="353"/>
      <c r="BA218" s="353"/>
      <c r="BB218" s="353"/>
      <c r="BC218" s="353"/>
      <c r="BD218" s="353"/>
      <c r="BE218" s="353"/>
      <c r="BF218" s="353"/>
      <c r="BG218" s="353"/>
      <c r="BH218" s="353"/>
      <c r="BI218" s="353"/>
      <c r="BJ218" s="353"/>
      <c r="BK218" s="353"/>
      <c r="BL218" s="353"/>
      <c r="BM218" s="353"/>
      <c r="BN218" s="353"/>
      <c r="BO218" s="353"/>
      <c r="BP218" s="353"/>
      <c r="BQ218" s="353"/>
      <c r="BR218" s="353"/>
      <c r="BS218" s="353"/>
      <c r="BT218" s="353"/>
      <c r="BU218" s="353"/>
      <c r="BV218" s="353"/>
      <c r="BW218" s="353"/>
      <c r="BX218" s="353"/>
      <c r="BY218" s="353"/>
      <c r="BZ218" s="353"/>
      <c r="CA218" s="353"/>
      <c r="CB218" s="353"/>
      <c r="CC218" s="353"/>
      <c r="CD218" s="353"/>
      <c r="CE218" s="353"/>
      <c r="CF218" s="353"/>
      <c r="CG218" s="353"/>
      <c r="CH218" s="353"/>
      <c r="CI218" s="353"/>
      <c r="CJ218" s="353"/>
      <c r="CK218" s="353"/>
      <c r="CL218" s="353"/>
      <c r="CM218" s="353"/>
      <c r="CN218" s="353"/>
      <c r="CO218" s="353"/>
      <c r="CP218" s="353"/>
      <c r="CQ218" s="353"/>
      <c r="CR218" s="353"/>
      <c r="CS218" s="353"/>
      <c r="CT218" s="353"/>
      <c r="CU218" s="353"/>
      <c r="CV218" s="353"/>
      <c r="CW218" s="353"/>
      <c r="CX218" s="353"/>
      <c r="CY218" s="353"/>
      <c r="CZ218" s="353"/>
      <c r="DA218" s="353"/>
      <c r="DB218" s="353"/>
      <c r="DC218" s="353"/>
      <c r="DD218" s="353"/>
      <c r="DE218" s="353"/>
      <c r="DF218" s="353"/>
      <c r="DG218" s="353"/>
      <c r="DH218" s="353"/>
      <c r="DI218" s="353"/>
      <c r="DJ218" s="353"/>
      <c r="DK218" s="353"/>
      <c r="DL218" s="353"/>
      <c r="DM218" s="353"/>
      <c r="DN218" s="353"/>
      <c r="DO218" s="353"/>
      <c r="DP218" s="353"/>
      <c r="DQ218" s="353"/>
      <c r="DR218" s="353"/>
      <c r="DS218" s="353"/>
      <c r="DT218" s="353"/>
      <c r="DU218" s="353"/>
      <c r="DV218" s="353"/>
      <c r="DW218" s="353"/>
      <c r="DX218" s="353"/>
      <c r="DY218" s="353"/>
      <c r="DZ218" s="353"/>
      <c r="EA218" s="353"/>
      <c r="EB218" s="353"/>
      <c r="EC218" s="353"/>
      <c r="ED218" s="353"/>
      <c r="EE218" s="353"/>
      <c r="EF218" s="353"/>
      <c r="EG218" s="353"/>
      <c r="EH218" s="353"/>
      <c r="EI218" s="353"/>
      <c r="EJ218" s="353"/>
      <c r="EK218" s="353"/>
      <c r="EL218" s="353"/>
      <c r="EM218" s="353"/>
      <c r="EN218" s="353"/>
      <c r="EO218" s="353"/>
      <c r="EP218" s="353"/>
      <c r="EQ218" s="353"/>
      <c r="ER218" s="353"/>
      <c r="ES218" s="353"/>
      <c r="ET218" s="353"/>
      <c r="EU218" s="353"/>
      <c r="EV218" s="353"/>
      <c r="EW218" s="353"/>
      <c r="EX218" s="353"/>
      <c r="EY218" s="353"/>
      <c r="EZ218" s="353"/>
      <c r="FA218" s="353"/>
      <c r="FB218" s="353"/>
      <c r="FC218" s="353"/>
      <c r="FD218" s="353"/>
      <c r="FE218" s="353"/>
      <c r="FF218" s="353"/>
      <c r="FG218" s="353"/>
      <c r="FH218" s="353"/>
      <c r="FI218" s="353"/>
      <c r="FJ218" s="353"/>
      <c r="FK218" s="353"/>
      <c r="FL218" s="353"/>
      <c r="FM218" s="353"/>
      <c r="FN218" s="353"/>
      <c r="FO218" s="353"/>
      <c r="FP218" s="353"/>
      <c r="FQ218" s="353"/>
      <c r="FR218" s="353"/>
      <c r="FS218" s="353"/>
      <c r="FT218" s="353"/>
      <c r="FU218" s="353"/>
      <c r="FV218" s="353"/>
      <c r="FW218" s="353"/>
      <c r="FX218" s="353"/>
      <c r="FY218" s="353"/>
      <c r="FZ218" s="353"/>
      <c r="GA218" s="353"/>
      <c r="GB218" s="353"/>
      <c r="GC218" s="353"/>
      <c r="GD218" s="353"/>
      <c r="GE218" s="353"/>
      <c r="GF218" s="353"/>
      <c r="GG218" s="353"/>
      <c r="GH218" s="353"/>
      <c r="GI218" s="353"/>
      <c r="GJ218" s="353"/>
      <c r="GK218" s="353"/>
      <c r="GL218" s="353"/>
      <c r="GM218" s="353"/>
      <c r="GN218" s="353"/>
      <c r="GO218" s="353"/>
      <c r="GP218" s="353"/>
      <c r="GQ218" s="353"/>
      <c r="GR218" s="353"/>
      <c r="GS218" s="353"/>
      <c r="GT218" s="353"/>
      <c r="GU218" s="353"/>
      <c r="GV218" s="353"/>
      <c r="GW218" s="353"/>
      <c r="GX218" s="353"/>
      <c r="GY218" s="353"/>
      <c r="GZ218" s="353"/>
      <c r="HA218" s="353"/>
      <c r="HB218" s="353"/>
      <c r="HC218" s="353"/>
      <c r="HD218" s="353"/>
      <c r="HE218" s="353"/>
      <c r="HF218" s="353"/>
      <c r="HG218" s="353"/>
      <c r="HH218" s="353"/>
      <c r="HI218" s="353"/>
      <c r="HJ218" s="353"/>
      <c r="HK218" s="353"/>
      <c r="HL218" s="353"/>
      <c r="HM218" s="353"/>
      <c r="HN218" s="353"/>
      <c r="HO218" s="353"/>
      <c r="HP218" s="353"/>
      <c r="HQ218" s="353"/>
      <c r="HR218" s="353"/>
    </row>
    <row r="219" spans="1:226" s="354" customFormat="1" ht="15" hidden="1" customHeight="1">
      <c r="A219" s="1547"/>
      <c r="B219" s="1548"/>
      <c r="C219" s="1570"/>
      <c r="D219" s="1572"/>
      <c r="E219" s="358"/>
      <c r="F219" s="359">
        <f>SUM(G219:J219)</f>
        <v>0</v>
      </c>
      <c r="G219" s="359"/>
      <c r="H219" s="359"/>
      <c r="I219" s="359"/>
      <c r="J219" s="360"/>
      <c r="K219" s="353"/>
    </row>
    <row r="220" spans="1:226" s="354" customFormat="1" ht="15" hidden="1" customHeight="1">
      <c r="A220" s="1547"/>
      <c r="B220" s="1548"/>
      <c r="C220" s="1570"/>
      <c r="D220" s="1572"/>
      <c r="E220" s="358"/>
      <c r="F220" s="359">
        <f t="shared" ref="F220:F221" si="17">SUM(G220:J220)</f>
        <v>0</v>
      </c>
      <c r="G220" s="359"/>
      <c r="H220" s="359"/>
      <c r="I220" s="359"/>
      <c r="J220" s="360"/>
      <c r="K220" s="353"/>
    </row>
    <row r="221" spans="1:226" s="354" customFormat="1" ht="15" hidden="1" customHeight="1">
      <c r="A221" s="1547"/>
      <c r="B221" s="1548"/>
      <c r="C221" s="1570"/>
      <c r="D221" s="1572"/>
      <c r="E221" s="358"/>
      <c r="F221" s="359">
        <f t="shared" si="17"/>
        <v>0</v>
      </c>
      <c r="G221" s="359"/>
      <c r="H221" s="359"/>
      <c r="I221" s="359"/>
      <c r="J221" s="360"/>
      <c r="K221" s="353"/>
    </row>
    <row r="222" spans="1:226" s="354" customFormat="1" ht="21" customHeight="1">
      <c r="A222" s="1547"/>
      <c r="B222" s="1548"/>
      <c r="C222" s="1570"/>
      <c r="D222" s="1572"/>
      <c r="E222" s="361" t="s">
        <v>318</v>
      </c>
      <c r="F222" s="356">
        <f>SUM(F223:F225)</f>
        <v>95936102</v>
      </c>
      <c r="G222" s="356">
        <f>SUM(G223:G225)</f>
        <v>2141445</v>
      </c>
      <c r="H222" s="356">
        <f>SUM(H223:H225)</f>
        <v>93794657</v>
      </c>
      <c r="I222" s="356">
        <f>SUM(I223:I225)</f>
        <v>0</v>
      </c>
      <c r="J222" s="357">
        <f>SUM(J223:J225)</f>
        <v>0</v>
      </c>
      <c r="K222" s="404"/>
    </row>
    <row r="223" spans="1:226" s="354" customFormat="1" ht="15" customHeight="1">
      <c r="A223" s="1547"/>
      <c r="B223" s="1548"/>
      <c r="C223" s="1570"/>
      <c r="D223" s="1572"/>
      <c r="E223" s="358" t="s">
        <v>413</v>
      </c>
      <c r="F223" s="359">
        <f>SUM(G223:J223)</f>
        <v>81659804</v>
      </c>
      <c r="G223" s="359"/>
      <c r="H223" s="359">
        <v>81659804</v>
      </c>
      <c r="I223" s="359"/>
      <c r="J223" s="360"/>
      <c r="K223" s="404"/>
    </row>
    <row r="224" spans="1:226" s="354" customFormat="1" ht="15" customHeight="1">
      <c r="A224" s="1547"/>
      <c r="B224" s="1548"/>
      <c r="C224" s="1570"/>
      <c r="D224" s="1572"/>
      <c r="E224" s="358" t="s">
        <v>414</v>
      </c>
      <c r="F224" s="359">
        <f>SUM(G224:J224)</f>
        <v>12134853</v>
      </c>
      <c r="G224" s="359"/>
      <c r="H224" s="359">
        <v>12134853</v>
      </c>
      <c r="I224" s="359"/>
      <c r="J224" s="360"/>
      <c r="K224" s="353"/>
    </row>
    <row r="225" spans="1:226" s="354" customFormat="1" ht="15" customHeight="1">
      <c r="A225" s="1547"/>
      <c r="B225" s="1548"/>
      <c r="C225" s="1570"/>
      <c r="D225" s="1572"/>
      <c r="E225" s="396">
        <v>6059</v>
      </c>
      <c r="F225" s="359">
        <f>SUM(G225:J225)</f>
        <v>2141445</v>
      </c>
      <c r="G225" s="359">
        <v>2141445</v>
      </c>
      <c r="H225" s="359"/>
      <c r="I225" s="359"/>
      <c r="J225" s="360"/>
      <c r="K225" s="353"/>
    </row>
    <row r="226" spans="1:226" s="354" customFormat="1" ht="22.5">
      <c r="A226" s="1547" t="s">
        <v>415</v>
      </c>
      <c r="B226" s="1548" t="s">
        <v>416</v>
      </c>
      <c r="C226" s="1570">
        <v>730</v>
      </c>
      <c r="D226" s="1572" t="s">
        <v>417</v>
      </c>
      <c r="E226" s="350" t="s">
        <v>315</v>
      </c>
      <c r="F226" s="351">
        <f>SUM(F227,F239)</f>
        <v>810500</v>
      </c>
      <c r="G226" s="351">
        <f>SUM(G227,G239)</f>
        <v>0</v>
      </c>
      <c r="H226" s="351">
        <f>SUM(H227,H239)</f>
        <v>810500</v>
      </c>
      <c r="I226" s="351">
        <f>SUM(I227,I239)</f>
        <v>0</v>
      </c>
      <c r="J226" s="352">
        <f>SUM(J227,J239)</f>
        <v>0</v>
      </c>
      <c r="K226" s="353"/>
    </row>
    <row r="227" spans="1:226" s="354" customFormat="1" ht="21">
      <c r="A227" s="1547"/>
      <c r="B227" s="1548"/>
      <c r="C227" s="1570"/>
      <c r="D227" s="1572"/>
      <c r="E227" s="355" t="s">
        <v>332</v>
      </c>
      <c r="F227" s="356">
        <f>SUM(F228,F232)</f>
        <v>810500</v>
      </c>
      <c r="G227" s="356">
        <f>SUM(G228,G232)</f>
        <v>0</v>
      </c>
      <c r="H227" s="356">
        <f>SUM(H228,H232)</f>
        <v>810500</v>
      </c>
      <c r="I227" s="356">
        <f>SUM(I228,I232)</f>
        <v>0</v>
      </c>
      <c r="J227" s="357">
        <f>SUM(J228,J232)</f>
        <v>0</v>
      </c>
      <c r="K227" s="353"/>
    </row>
    <row r="228" spans="1:226" s="354" customFormat="1" ht="24.95" customHeight="1">
      <c r="A228" s="1547"/>
      <c r="B228" s="1548"/>
      <c r="C228" s="1570"/>
      <c r="D228" s="1572"/>
      <c r="E228" s="393" t="s">
        <v>333</v>
      </c>
      <c r="F228" s="394">
        <f>SUM(F229:F231)</f>
        <v>50000</v>
      </c>
      <c r="G228" s="394">
        <f>SUM(G229:G231)</f>
        <v>0</v>
      </c>
      <c r="H228" s="394">
        <f>SUM(H229:H231)</f>
        <v>50000</v>
      </c>
      <c r="I228" s="394">
        <f>SUM(I229:I231)</f>
        <v>0</v>
      </c>
      <c r="J228" s="395">
        <f>SUM(J229:J231)</f>
        <v>0</v>
      </c>
      <c r="K228" s="353"/>
    </row>
    <row r="229" spans="1:226" s="354" customFormat="1" ht="15" customHeight="1">
      <c r="A229" s="1547"/>
      <c r="B229" s="1548"/>
      <c r="C229" s="1570"/>
      <c r="D229" s="1572"/>
      <c r="E229" s="358" t="s">
        <v>395</v>
      </c>
      <c r="F229" s="359">
        <f>SUM(G229:J229)</f>
        <v>50000</v>
      </c>
      <c r="G229" s="359"/>
      <c r="H229" s="359">
        <v>50000</v>
      </c>
      <c r="I229" s="359"/>
      <c r="J229" s="360"/>
      <c r="K229" s="353"/>
    </row>
    <row r="230" spans="1:226" s="354" customFormat="1" ht="15" hidden="1" customHeight="1">
      <c r="A230" s="1547"/>
      <c r="B230" s="1548"/>
      <c r="C230" s="1570"/>
      <c r="D230" s="1572"/>
      <c r="E230" s="358"/>
      <c r="F230" s="359">
        <f>SUM(G230:J230)</f>
        <v>0</v>
      </c>
      <c r="G230" s="359"/>
      <c r="H230" s="359"/>
      <c r="I230" s="359"/>
      <c r="J230" s="360"/>
      <c r="K230" s="353"/>
    </row>
    <row r="231" spans="1:226" s="354" customFormat="1" ht="15" hidden="1" customHeight="1">
      <c r="A231" s="1547"/>
      <c r="B231" s="1548"/>
      <c r="C231" s="1570"/>
      <c r="D231" s="1572"/>
      <c r="E231" s="358"/>
      <c r="F231" s="359">
        <f>SUM(G231:J231)</f>
        <v>0</v>
      </c>
      <c r="G231" s="359"/>
      <c r="H231" s="359"/>
      <c r="I231" s="359"/>
      <c r="J231" s="360"/>
      <c r="K231" s="353"/>
    </row>
    <row r="232" spans="1:226" s="354" customFormat="1" ht="24.95" customHeight="1">
      <c r="A232" s="1547"/>
      <c r="B232" s="1548"/>
      <c r="C232" s="1570"/>
      <c r="D232" s="1572"/>
      <c r="E232" s="393" t="s">
        <v>338</v>
      </c>
      <c r="F232" s="394">
        <f>SUM(F233:F238)</f>
        <v>760500</v>
      </c>
      <c r="G232" s="394">
        <f>SUM(G233:G238)</f>
        <v>0</v>
      </c>
      <c r="H232" s="394">
        <f>SUM(H233:H238)</f>
        <v>760500</v>
      </c>
      <c r="I232" s="394">
        <f>SUM(I233:I238)</f>
        <v>0</v>
      </c>
      <c r="J232" s="395">
        <f>SUM(J233:J238)</f>
        <v>0</v>
      </c>
      <c r="K232" s="353"/>
      <c r="L232" s="353"/>
      <c r="M232" s="353"/>
      <c r="N232" s="353"/>
      <c r="O232" s="353"/>
      <c r="P232" s="353"/>
      <c r="Q232" s="353"/>
      <c r="R232" s="353"/>
      <c r="S232" s="353"/>
      <c r="T232" s="353"/>
      <c r="U232" s="353"/>
      <c r="V232" s="353"/>
      <c r="W232" s="353"/>
      <c r="X232" s="353"/>
      <c r="Y232" s="353"/>
      <c r="Z232" s="353"/>
      <c r="AA232" s="353"/>
      <c r="AB232" s="353"/>
      <c r="AC232" s="353"/>
      <c r="AD232" s="353"/>
      <c r="AE232" s="353"/>
      <c r="AF232" s="353"/>
      <c r="AG232" s="353"/>
      <c r="AH232" s="353"/>
      <c r="AI232" s="353"/>
      <c r="AJ232" s="353"/>
      <c r="AK232" s="353"/>
      <c r="AL232" s="353"/>
      <c r="AM232" s="353"/>
      <c r="AN232" s="353"/>
      <c r="AO232" s="353"/>
      <c r="AP232" s="353"/>
      <c r="AQ232" s="353"/>
      <c r="AR232" s="353"/>
      <c r="AS232" s="353"/>
      <c r="AT232" s="353"/>
      <c r="AU232" s="353"/>
      <c r="AV232" s="353"/>
      <c r="AW232" s="353"/>
      <c r="AX232" s="353"/>
      <c r="AY232" s="353"/>
      <c r="AZ232" s="353"/>
      <c r="BA232" s="353"/>
      <c r="BB232" s="353"/>
      <c r="BC232" s="353"/>
      <c r="BD232" s="353"/>
      <c r="BE232" s="353"/>
      <c r="BF232" s="353"/>
      <c r="BG232" s="353"/>
      <c r="BH232" s="353"/>
      <c r="BI232" s="353"/>
      <c r="BJ232" s="353"/>
      <c r="BK232" s="353"/>
      <c r="BL232" s="353"/>
      <c r="BM232" s="353"/>
      <c r="BN232" s="353"/>
      <c r="BO232" s="353"/>
      <c r="BP232" s="353"/>
      <c r="BQ232" s="353"/>
      <c r="BR232" s="353"/>
      <c r="BS232" s="353"/>
      <c r="BT232" s="353"/>
      <c r="BU232" s="353"/>
      <c r="BV232" s="353"/>
      <c r="BW232" s="353"/>
      <c r="BX232" s="353"/>
      <c r="BY232" s="353"/>
      <c r="BZ232" s="353"/>
      <c r="CA232" s="353"/>
      <c r="CB232" s="353"/>
      <c r="CC232" s="353"/>
      <c r="CD232" s="353"/>
      <c r="CE232" s="353"/>
      <c r="CF232" s="353"/>
      <c r="CG232" s="353"/>
      <c r="CH232" s="353"/>
      <c r="CI232" s="353"/>
      <c r="CJ232" s="353"/>
      <c r="CK232" s="353"/>
      <c r="CL232" s="353"/>
      <c r="CM232" s="353"/>
      <c r="CN232" s="353"/>
      <c r="CO232" s="353"/>
      <c r="CP232" s="353"/>
      <c r="CQ232" s="353"/>
      <c r="CR232" s="353"/>
      <c r="CS232" s="353"/>
      <c r="CT232" s="353"/>
      <c r="CU232" s="353"/>
      <c r="CV232" s="353"/>
      <c r="CW232" s="353"/>
      <c r="CX232" s="353"/>
      <c r="CY232" s="353"/>
      <c r="CZ232" s="353"/>
      <c r="DA232" s="353"/>
      <c r="DB232" s="353"/>
      <c r="DC232" s="353"/>
      <c r="DD232" s="353"/>
      <c r="DE232" s="353"/>
      <c r="DF232" s="353"/>
      <c r="DG232" s="353"/>
      <c r="DH232" s="353"/>
      <c r="DI232" s="353"/>
      <c r="DJ232" s="353"/>
      <c r="DK232" s="353"/>
      <c r="DL232" s="353"/>
      <c r="DM232" s="353"/>
      <c r="DN232" s="353"/>
      <c r="DO232" s="353"/>
      <c r="DP232" s="353"/>
      <c r="DQ232" s="353"/>
      <c r="DR232" s="353"/>
      <c r="DS232" s="353"/>
      <c r="DT232" s="353"/>
      <c r="DU232" s="353"/>
      <c r="DV232" s="353"/>
      <c r="DW232" s="353"/>
      <c r="DX232" s="353"/>
      <c r="DY232" s="353"/>
      <c r="DZ232" s="353"/>
      <c r="EA232" s="353"/>
      <c r="EB232" s="353"/>
      <c r="EC232" s="353"/>
      <c r="ED232" s="353"/>
      <c r="EE232" s="353"/>
      <c r="EF232" s="353"/>
      <c r="EG232" s="353"/>
      <c r="EH232" s="353"/>
      <c r="EI232" s="353"/>
      <c r="EJ232" s="353"/>
      <c r="EK232" s="353"/>
      <c r="EL232" s="353"/>
      <c r="EM232" s="353"/>
      <c r="EN232" s="353"/>
      <c r="EO232" s="353"/>
      <c r="EP232" s="353"/>
      <c r="EQ232" s="353"/>
      <c r="ER232" s="353"/>
      <c r="ES232" s="353"/>
      <c r="ET232" s="353"/>
      <c r="EU232" s="353"/>
      <c r="EV232" s="353"/>
      <c r="EW232" s="353"/>
      <c r="EX232" s="353"/>
      <c r="EY232" s="353"/>
      <c r="EZ232" s="353"/>
      <c r="FA232" s="353"/>
      <c r="FB232" s="353"/>
      <c r="FC232" s="353"/>
      <c r="FD232" s="353"/>
      <c r="FE232" s="353"/>
      <c r="FF232" s="353"/>
      <c r="FG232" s="353"/>
      <c r="FH232" s="353"/>
      <c r="FI232" s="353"/>
      <c r="FJ232" s="353"/>
      <c r="FK232" s="353"/>
      <c r="FL232" s="353"/>
      <c r="FM232" s="353"/>
      <c r="FN232" s="353"/>
      <c r="FO232" s="353"/>
      <c r="FP232" s="353"/>
      <c r="FQ232" s="353"/>
      <c r="FR232" s="353"/>
      <c r="FS232" s="353"/>
      <c r="FT232" s="353"/>
      <c r="FU232" s="353"/>
      <c r="FV232" s="353"/>
      <c r="FW232" s="353"/>
      <c r="FX232" s="353"/>
      <c r="FY232" s="353"/>
      <c r="FZ232" s="353"/>
      <c r="GA232" s="353"/>
      <c r="GB232" s="353"/>
      <c r="GC232" s="353"/>
      <c r="GD232" s="353"/>
      <c r="GE232" s="353"/>
      <c r="GF232" s="353"/>
      <c r="GG232" s="353"/>
      <c r="GH232" s="353"/>
      <c r="GI232" s="353"/>
      <c r="GJ232" s="353"/>
      <c r="GK232" s="353"/>
      <c r="GL232" s="353"/>
      <c r="GM232" s="353"/>
      <c r="GN232" s="353"/>
      <c r="GO232" s="353"/>
      <c r="GP232" s="353"/>
      <c r="GQ232" s="353"/>
      <c r="GR232" s="353"/>
      <c r="GS232" s="353"/>
      <c r="GT232" s="353"/>
      <c r="GU232" s="353"/>
      <c r="GV232" s="353"/>
      <c r="GW232" s="353"/>
      <c r="GX232" s="353"/>
      <c r="GY232" s="353"/>
      <c r="GZ232" s="353"/>
      <c r="HA232" s="353"/>
      <c r="HB232" s="353"/>
      <c r="HC232" s="353"/>
      <c r="HD232" s="353"/>
      <c r="HE232" s="353"/>
      <c r="HF232" s="353"/>
      <c r="HG232" s="353"/>
      <c r="HH232" s="353"/>
      <c r="HI232" s="353"/>
      <c r="HJ232" s="353"/>
      <c r="HK232" s="353"/>
      <c r="HL232" s="353"/>
      <c r="HM232" s="353"/>
      <c r="HN232" s="353"/>
      <c r="HO232" s="353"/>
      <c r="HP232" s="353"/>
      <c r="HQ232" s="353"/>
      <c r="HR232" s="353"/>
    </row>
    <row r="233" spans="1:226" s="354" customFormat="1" ht="15" customHeight="1">
      <c r="A233" s="1547"/>
      <c r="B233" s="1548"/>
      <c r="C233" s="1570"/>
      <c r="D233" s="1572"/>
      <c r="E233" s="358" t="s">
        <v>397</v>
      </c>
      <c r="F233" s="359">
        <f t="shared" ref="F233:F236" si="18">SUM(G233:J233)</f>
        <v>380000</v>
      </c>
      <c r="G233" s="359"/>
      <c r="H233" s="359">
        <v>380000</v>
      </c>
      <c r="I233" s="359"/>
      <c r="J233" s="360"/>
      <c r="K233" s="353"/>
    </row>
    <row r="234" spans="1:226" s="354" customFormat="1" ht="15" customHeight="1">
      <c r="A234" s="1547"/>
      <c r="B234" s="1548"/>
      <c r="C234" s="1570"/>
      <c r="D234" s="1572"/>
      <c r="E234" s="358" t="s">
        <v>398</v>
      </c>
      <c r="F234" s="359">
        <f t="shared" si="18"/>
        <v>100000</v>
      </c>
      <c r="G234" s="359"/>
      <c r="H234" s="359">
        <v>100000</v>
      </c>
      <c r="I234" s="359"/>
      <c r="J234" s="360"/>
      <c r="K234" s="353"/>
    </row>
    <row r="235" spans="1:226" s="354" customFormat="1" ht="15" customHeight="1">
      <c r="A235" s="1547"/>
      <c r="B235" s="1548"/>
      <c r="C235" s="1570"/>
      <c r="D235" s="1572"/>
      <c r="E235" s="358" t="s">
        <v>399</v>
      </c>
      <c r="F235" s="359">
        <f t="shared" si="18"/>
        <v>50000</v>
      </c>
      <c r="G235" s="359"/>
      <c r="H235" s="359">
        <v>50000</v>
      </c>
      <c r="I235" s="359"/>
      <c r="J235" s="360"/>
      <c r="K235" s="353"/>
    </row>
    <row r="236" spans="1:226" s="354" customFormat="1" ht="15" customHeight="1">
      <c r="A236" s="1547"/>
      <c r="B236" s="1548"/>
      <c r="C236" s="1570"/>
      <c r="D236" s="1572"/>
      <c r="E236" s="358" t="s">
        <v>400</v>
      </c>
      <c r="F236" s="359">
        <f t="shared" si="18"/>
        <v>50000</v>
      </c>
      <c r="G236" s="359"/>
      <c r="H236" s="359">
        <v>50000</v>
      </c>
      <c r="I236" s="359"/>
      <c r="J236" s="360"/>
      <c r="K236" s="353"/>
    </row>
    <row r="237" spans="1:226" s="354" customFormat="1" ht="15" customHeight="1">
      <c r="A237" s="1547"/>
      <c r="B237" s="1548"/>
      <c r="C237" s="1570"/>
      <c r="D237" s="1572"/>
      <c r="E237" s="358" t="s">
        <v>418</v>
      </c>
      <c r="F237" s="359">
        <f>SUM(G237:J237)</f>
        <v>100000</v>
      </c>
      <c r="G237" s="359"/>
      <c r="H237" s="359">
        <v>100000</v>
      </c>
      <c r="I237" s="359"/>
      <c r="J237" s="360"/>
      <c r="K237" s="353"/>
    </row>
    <row r="238" spans="1:226" s="354" customFormat="1" ht="15" customHeight="1">
      <c r="A238" s="1547"/>
      <c r="B238" s="1548"/>
      <c r="C238" s="1570"/>
      <c r="D238" s="1572"/>
      <c r="E238" s="358" t="s">
        <v>403</v>
      </c>
      <c r="F238" s="359">
        <f>SUM(G238:J238)</f>
        <v>80500</v>
      </c>
      <c r="G238" s="359"/>
      <c r="H238" s="359">
        <v>80500</v>
      </c>
      <c r="I238" s="359"/>
      <c r="J238" s="360"/>
      <c r="K238" s="353"/>
    </row>
    <row r="239" spans="1:226" s="354" customFormat="1" ht="18" customHeight="1">
      <c r="A239" s="1547"/>
      <c r="B239" s="1548"/>
      <c r="C239" s="1570"/>
      <c r="D239" s="1572"/>
      <c r="E239" s="361" t="s">
        <v>318</v>
      </c>
      <c r="F239" s="356">
        <f>SUM(F240:F241)</f>
        <v>0</v>
      </c>
      <c r="G239" s="356">
        <f>SUM(G240:G241)</f>
        <v>0</v>
      </c>
      <c r="H239" s="356">
        <f>SUM(H240:H241)</f>
        <v>0</v>
      </c>
      <c r="I239" s="356">
        <f>SUM(I240:I241)</f>
        <v>0</v>
      </c>
      <c r="J239" s="357">
        <f>SUM(J240:J241)</f>
        <v>0</v>
      </c>
      <c r="K239" s="353"/>
    </row>
    <row r="240" spans="1:226" s="354" customFormat="1" ht="15" hidden="1" customHeight="1">
      <c r="A240" s="1547"/>
      <c r="B240" s="1548"/>
      <c r="C240" s="1570"/>
      <c r="D240" s="1572"/>
      <c r="E240" s="358"/>
      <c r="F240" s="359">
        <f>SUM(G240:J240)</f>
        <v>0</v>
      </c>
      <c r="G240" s="359"/>
      <c r="H240" s="359"/>
      <c r="I240" s="359"/>
      <c r="J240" s="360"/>
      <c r="K240" s="353"/>
    </row>
    <row r="241" spans="1:226" s="354" customFormat="1" ht="15" hidden="1" customHeight="1">
      <c r="A241" s="1547"/>
      <c r="B241" s="1548"/>
      <c r="C241" s="1570"/>
      <c r="D241" s="1572"/>
      <c r="E241" s="396"/>
      <c r="F241" s="359">
        <f>SUM(G241:J241)</f>
        <v>0</v>
      </c>
      <c r="G241" s="359"/>
      <c r="H241" s="359"/>
      <c r="I241" s="359"/>
      <c r="J241" s="360"/>
      <c r="K241" s="353"/>
    </row>
    <row r="242" spans="1:226" s="354" customFormat="1" ht="24.95" customHeight="1">
      <c r="A242" s="1547" t="s">
        <v>419</v>
      </c>
      <c r="B242" s="1548" t="s">
        <v>420</v>
      </c>
      <c r="C242" s="1570">
        <v>750</v>
      </c>
      <c r="D242" s="1572" t="s">
        <v>331</v>
      </c>
      <c r="E242" s="350" t="s">
        <v>315</v>
      </c>
      <c r="F242" s="351">
        <f>SUM(F243,F252)</f>
        <v>4867667</v>
      </c>
      <c r="G242" s="351">
        <f>SUM(G243,G252)</f>
        <v>51000</v>
      </c>
      <c r="H242" s="351">
        <f>SUM(H243,H252)</f>
        <v>4816667</v>
      </c>
      <c r="I242" s="351">
        <f>SUM(I243,I252)</f>
        <v>0</v>
      </c>
      <c r="J242" s="352">
        <f>SUM(J243,J252)</f>
        <v>0</v>
      </c>
      <c r="K242" s="353"/>
    </row>
    <row r="243" spans="1:226" s="354" customFormat="1" ht="24.95" customHeight="1">
      <c r="A243" s="1547"/>
      <c r="B243" s="1548"/>
      <c r="C243" s="1570"/>
      <c r="D243" s="1572"/>
      <c r="E243" s="355" t="s">
        <v>332</v>
      </c>
      <c r="F243" s="356">
        <f>SUM(F244,F248)</f>
        <v>0</v>
      </c>
      <c r="G243" s="356">
        <f>SUM(G244,G248)</f>
        <v>0</v>
      </c>
      <c r="H243" s="356">
        <f>SUM(H244,H248)</f>
        <v>0</v>
      </c>
      <c r="I243" s="356">
        <f>SUM(I244,I248)</f>
        <v>0</v>
      </c>
      <c r="J243" s="357">
        <f>SUM(J244,J248)</f>
        <v>0</v>
      </c>
      <c r="K243" s="353"/>
    </row>
    <row r="244" spans="1:226" s="354" customFormat="1" ht="24.95" hidden="1" customHeight="1">
      <c r="A244" s="1547"/>
      <c r="B244" s="1548"/>
      <c r="C244" s="1570"/>
      <c r="D244" s="1572"/>
      <c r="E244" s="393" t="s">
        <v>333</v>
      </c>
      <c r="F244" s="394">
        <f>SUM(F245:F247)</f>
        <v>0</v>
      </c>
      <c r="G244" s="394">
        <f>SUM(G245:G247)</f>
        <v>0</v>
      </c>
      <c r="H244" s="394">
        <f>SUM(H245:H247)</f>
        <v>0</v>
      </c>
      <c r="I244" s="394">
        <f>SUM(I245:I247)</f>
        <v>0</v>
      </c>
      <c r="J244" s="395">
        <f>SUM(J245:J247)</f>
        <v>0</v>
      </c>
      <c r="K244" s="353"/>
    </row>
    <row r="245" spans="1:226" s="354" customFormat="1" ht="15" hidden="1" customHeight="1">
      <c r="A245" s="1547"/>
      <c r="B245" s="1548"/>
      <c r="C245" s="1570"/>
      <c r="D245" s="1572"/>
      <c r="E245" s="358"/>
      <c r="F245" s="359">
        <f>SUM(G245:J245)</f>
        <v>0</v>
      </c>
      <c r="G245" s="359"/>
      <c r="H245" s="359"/>
      <c r="I245" s="359"/>
      <c r="J245" s="360"/>
      <c r="K245" s="353"/>
    </row>
    <row r="246" spans="1:226" s="354" customFormat="1" ht="15" hidden="1" customHeight="1">
      <c r="A246" s="1547"/>
      <c r="B246" s="1548"/>
      <c r="C246" s="1570"/>
      <c r="D246" s="1572"/>
      <c r="E246" s="358"/>
      <c r="F246" s="359">
        <f>SUM(G246:J246)</f>
        <v>0</v>
      </c>
      <c r="G246" s="359"/>
      <c r="H246" s="359"/>
      <c r="I246" s="359"/>
      <c r="J246" s="360"/>
      <c r="K246" s="353"/>
    </row>
    <row r="247" spans="1:226" s="354" customFormat="1" ht="15" hidden="1" customHeight="1">
      <c r="A247" s="1547"/>
      <c r="B247" s="1548"/>
      <c r="C247" s="1570"/>
      <c r="D247" s="1572"/>
      <c r="E247" s="358"/>
      <c r="F247" s="359">
        <f>SUM(G247:J247)</f>
        <v>0</v>
      </c>
      <c r="G247" s="359"/>
      <c r="H247" s="359"/>
      <c r="I247" s="359"/>
      <c r="J247" s="360"/>
      <c r="K247" s="353"/>
    </row>
    <row r="248" spans="1:226" s="354" customFormat="1" ht="24.95" hidden="1" customHeight="1">
      <c r="A248" s="1547"/>
      <c r="B248" s="1548"/>
      <c r="C248" s="1570"/>
      <c r="D248" s="1572"/>
      <c r="E248" s="393" t="s">
        <v>338</v>
      </c>
      <c r="F248" s="394">
        <f>SUM(F249:F251)</f>
        <v>0</v>
      </c>
      <c r="G248" s="394">
        <f>SUM(G249:G251)</f>
        <v>0</v>
      </c>
      <c r="H248" s="394">
        <f>SUM(H249:H251)</f>
        <v>0</v>
      </c>
      <c r="I248" s="394">
        <f>SUM(I249:I251)</f>
        <v>0</v>
      </c>
      <c r="J248" s="395">
        <f>SUM(J249:J251)</f>
        <v>0</v>
      </c>
      <c r="K248" s="353"/>
      <c r="L248" s="353"/>
      <c r="M248" s="353"/>
      <c r="N248" s="353"/>
      <c r="O248" s="353"/>
      <c r="P248" s="353"/>
      <c r="Q248" s="353"/>
      <c r="R248" s="353"/>
      <c r="S248" s="353"/>
      <c r="T248" s="353"/>
      <c r="U248" s="353"/>
      <c r="V248" s="353"/>
      <c r="W248" s="353"/>
      <c r="X248" s="353"/>
      <c r="Y248" s="353"/>
      <c r="Z248" s="353"/>
      <c r="AA248" s="353"/>
      <c r="AB248" s="353"/>
      <c r="AC248" s="353"/>
      <c r="AD248" s="353"/>
      <c r="AE248" s="353"/>
      <c r="AF248" s="353"/>
      <c r="AG248" s="353"/>
      <c r="AH248" s="353"/>
      <c r="AI248" s="353"/>
      <c r="AJ248" s="353"/>
      <c r="AK248" s="353"/>
      <c r="AL248" s="353"/>
      <c r="AM248" s="353"/>
      <c r="AN248" s="353"/>
      <c r="AO248" s="353"/>
      <c r="AP248" s="353"/>
      <c r="AQ248" s="353"/>
      <c r="AR248" s="353"/>
      <c r="AS248" s="353"/>
      <c r="AT248" s="353"/>
      <c r="AU248" s="353"/>
      <c r="AV248" s="353"/>
      <c r="AW248" s="353"/>
      <c r="AX248" s="353"/>
      <c r="AY248" s="353"/>
      <c r="AZ248" s="353"/>
      <c r="BA248" s="353"/>
      <c r="BB248" s="353"/>
      <c r="BC248" s="353"/>
      <c r="BD248" s="353"/>
      <c r="BE248" s="353"/>
      <c r="BF248" s="353"/>
      <c r="BG248" s="353"/>
      <c r="BH248" s="353"/>
      <c r="BI248" s="353"/>
      <c r="BJ248" s="353"/>
      <c r="BK248" s="353"/>
      <c r="BL248" s="353"/>
      <c r="BM248" s="353"/>
      <c r="BN248" s="353"/>
      <c r="BO248" s="353"/>
      <c r="BP248" s="353"/>
      <c r="BQ248" s="353"/>
      <c r="BR248" s="353"/>
      <c r="BS248" s="353"/>
      <c r="BT248" s="353"/>
      <c r="BU248" s="353"/>
      <c r="BV248" s="353"/>
      <c r="BW248" s="353"/>
      <c r="BX248" s="353"/>
      <c r="BY248" s="353"/>
      <c r="BZ248" s="353"/>
      <c r="CA248" s="353"/>
      <c r="CB248" s="353"/>
      <c r="CC248" s="353"/>
      <c r="CD248" s="353"/>
      <c r="CE248" s="353"/>
      <c r="CF248" s="353"/>
      <c r="CG248" s="353"/>
      <c r="CH248" s="353"/>
      <c r="CI248" s="353"/>
      <c r="CJ248" s="353"/>
      <c r="CK248" s="353"/>
      <c r="CL248" s="353"/>
      <c r="CM248" s="353"/>
      <c r="CN248" s="353"/>
      <c r="CO248" s="353"/>
      <c r="CP248" s="353"/>
      <c r="CQ248" s="353"/>
      <c r="CR248" s="353"/>
      <c r="CS248" s="353"/>
      <c r="CT248" s="353"/>
      <c r="CU248" s="353"/>
      <c r="CV248" s="353"/>
      <c r="CW248" s="353"/>
      <c r="CX248" s="353"/>
      <c r="CY248" s="353"/>
      <c r="CZ248" s="353"/>
      <c r="DA248" s="353"/>
      <c r="DB248" s="353"/>
      <c r="DC248" s="353"/>
      <c r="DD248" s="353"/>
      <c r="DE248" s="353"/>
      <c r="DF248" s="353"/>
      <c r="DG248" s="353"/>
      <c r="DH248" s="353"/>
      <c r="DI248" s="353"/>
      <c r="DJ248" s="353"/>
      <c r="DK248" s="353"/>
      <c r="DL248" s="353"/>
      <c r="DM248" s="353"/>
      <c r="DN248" s="353"/>
      <c r="DO248" s="353"/>
      <c r="DP248" s="353"/>
      <c r="DQ248" s="353"/>
      <c r="DR248" s="353"/>
      <c r="DS248" s="353"/>
      <c r="DT248" s="353"/>
      <c r="DU248" s="353"/>
      <c r="DV248" s="353"/>
      <c r="DW248" s="353"/>
      <c r="DX248" s="353"/>
      <c r="DY248" s="353"/>
      <c r="DZ248" s="353"/>
      <c r="EA248" s="353"/>
      <c r="EB248" s="353"/>
      <c r="EC248" s="353"/>
      <c r="ED248" s="353"/>
      <c r="EE248" s="353"/>
      <c r="EF248" s="353"/>
      <c r="EG248" s="353"/>
      <c r="EH248" s="353"/>
      <c r="EI248" s="353"/>
      <c r="EJ248" s="353"/>
      <c r="EK248" s="353"/>
      <c r="EL248" s="353"/>
      <c r="EM248" s="353"/>
      <c r="EN248" s="353"/>
      <c r="EO248" s="353"/>
      <c r="EP248" s="353"/>
      <c r="EQ248" s="353"/>
      <c r="ER248" s="353"/>
      <c r="ES248" s="353"/>
      <c r="ET248" s="353"/>
      <c r="EU248" s="353"/>
      <c r="EV248" s="353"/>
      <c r="EW248" s="353"/>
      <c r="EX248" s="353"/>
      <c r="EY248" s="353"/>
      <c r="EZ248" s="353"/>
      <c r="FA248" s="353"/>
      <c r="FB248" s="353"/>
      <c r="FC248" s="353"/>
      <c r="FD248" s="353"/>
      <c r="FE248" s="353"/>
      <c r="FF248" s="353"/>
      <c r="FG248" s="353"/>
      <c r="FH248" s="353"/>
      <c r="FI248" s="353"/>
      <c r="FJ248" s="353"/>
      <c r="FK248" s="353"/>
      <c r="FL248" s="353"/>
      <c r="FM248" s="353"/>
      <c r="FN248" s="353"/>
      <c r="FO248" s="353"/>
      <c r="FP248" s="353"/>
      <c r="FQ248" s="353"/>
      <c r="FR248" s="353"/>
      <c r="FS248" s="353"/>
      <c r="FT248" s="353"/>
      <c r="FU248" s="353"/>
      <c r="FV248" s="353"/>
      <c r="FW248" s="353"/>
      <c r="FX248" s="353"/>
      <c r="FY248" s="353"/>
      <c r="FZ248" s="353"/>
      <c r="GA248" s="353"/>
      <c r="GB248" s="353"/>
      <c r="GC248" s="353"/>
      <c r="GD248" s="353"/>
      <c r="GE248" s="353"/>
      <c r="GF248" s="353"/>
      <c r="GG248" s="353"/>
      <c r="GH248" s="353"/>
      <c r="GI248" s="353"/>
      <c r="GJ248" s="353"/>
      <c r="GK248" s="353"/>
      <c r="GL248" s="353"/>
      <c r="GM248" s="353"/>
      <c r="GN248" s="353"/>
      <c r="GO248" s="353"/>
      <c r="GP248" s="353"/>
      <c r="GQ248" s="353"/>
      <c r="GR248" s="353"/>
      <c r="GS248" s="353"/>
      <c r="GT248" s="353"/>
      <c r="GU248" s="353"/>
      <c r="GV248" s="353"/>
      <c r="GW248" s="353"/>
      <c r="GX248" s="353"/>
      <c r="GY248" s="353"/>
      <c r="GZ248" s="353"/>
      <c r="HA248" s="353"/>
      <c r="HB248" s="353"/>
      <c r="HC248" s="353"/>
      <c r="HD248" s="353"/>
      <c r="HE248" s="353"/>
      <c r="HF248" s="353"/>
      <c r="HG248" s="353"/>
      <c r="HH248" s="353"/>
      <c r="HI248" s="353"/>
      <c r="HJ248" s="353"/>
      <c r="HK248" s="353"/>
      <c r="HL248" s="353"/>
      <c r="HM248" s="353"/>
      <c r="HN248" s="353"/>
      <c r="HO248" s="353"/>
      <c r="HP248" s="353"/>
      <c r="HQ248" s="353"/>
      <c r="HR248" s="353"/>
    </row>
    <row r="249" spans="1:226" s="354" customFormat="1" ht="15" hidden="1" customHeight="1">
      <c r="A249" s="1547"/>
      <c r="B249" s="1548"/>
      <c r="C249" s="1570"/>
      <c r="D249" s="1572"/>
      <c r="E249" s="358"/>
      <c r="F249" s="359">
        <f>SUM(G249:J249)</f>
        <v>0</v>
      </c>
      <c r="G249" s="359"/>
      <c r="H249" s="359"/>
      <c r="I249" s="359"/>
      <c r="J249" s="360"/>
      <c r="K249" s="353"/>
    </row>
    <row r="250" spans="1:226" s="354" customFormat="1" ht="15" hidden="1" customHeight="1">
      <c r="A250" s="1547"/>
      <c r="B250" s="1548"/>
      <c r="C250" s="1570"/>
      <c r="D250" s="1572"/>
      <c r="E250" s="358"/>
      <c r="F250" s="359">
        <f t="shared" ref="F250:F251" si="19">SUM(G250:J250)</f>
        <v>0</v>
      </c>
      <c r="G250" s="359"/>
      <c r="H250" s="359"/>
      <c r="I250" s="359"/>
      <c r="J250" s="360"/>
      <c r="K250" s="353"/>
    </row>
    <row r="251" spans="1:226" s="354" customFormat="1" ht="15" hidden="1" customHeight="1">
      <c r="A251" s="1547"/>
      <c r="B251" s="1548"/>
      <c r="C251" s="1570"/>
      <c r="D251" s="1572"/>
      <c r="E251" s="358"/>
      <c r="F251" s="359">
        <f t="shared" si="19"/>
        <v>0</v>
      </c>
      <c r="G251" s="359"/>
      <c r="H251" s="359"/>
      <c r="I251" s="359"/>
      <c r="J251" s="360"/>
      <c r="K251" s="353"/>
    </row>
    <row r="252" spans="1:226" s="354" customFormat="1" ht="24.95" customHeight="1">
      <c r="A252" s="1547"/>
      <c r="B252" s="1548"/>
      <c r="C252" s="1570"/>
      <c r="D252" s="1572"/>
      <c r="E252" s="361" t="s">
        <v>318</v>
      </c>
      <c r="F252" s="356">
        <f>SUM(F253:F255)</f>
        <v>4867667</v>
      </c>
      <c r="G252" s="356">
        <f>SUM(G253:G255)</f>
        <v>51000</v>
      </c>
      <c r="H252" s="356">
        <f>SUM(H253:H255)</f>
        <v>4816667</v>
      </c>
      <c r="I252" s="356">
        <f>SUM(I253:I255)</f>
        <v>0</v>
      </c>
      <c r="J252" s="357">
        <f>SUM(J253:J255)</f>
        <v>0</v>
      </c>
      <c r="K252" s="353"/>
    </row>
    <row r="253" spans="1:226" s="354" customFormat="1" ht="15" hidden="1" customHeight="1">
      <c r="A253" s="1547"/>
      <c r="B253" s="1548"/>
      <c r="C253" s="1570"/>
      <c r="D253" s="1572"/>
      <c r="E253" s="358" t="s">
        <v>407</v>
      </c>
      <c r="F253" s="359">
        <f>SUM(G253:J253)</f>
        <v>0</v>
      </c>
      <c r="G253" s="359"/>
      <c r="H253" s="359"/>
      <c r="I253" s="359"/>
      <c r="J253" s="360"/>
      <c r="K253" s="353"/>
    </row>
    <row r="254" spans="1:226" s="354" customFormat="1" ht="15" customHeight="1">
      <c r="A254" s="1547"/>
      <c r="B254" s="1548"/>
      <c r="C254" s="1570"/>
      <c r="D254" s="1572"/>
      <c r="E254" s="358" t="s">
        <v>414</v>
      </c>
      <c r="F254" s="359">
        <f>SUM(G254:J254)</f>
        <v>4816667</v>
      </c>
      <c r="G254" s="359"/>
      <c r="H254" s="359">
        <v>4816667</v>
      </c>
      <c r="I254" s="359"/>
      <c r="J254" s="360"/>
      <c r="K254" s="353"/>
    </row>
    <row r="255" spans="1:226" s="354" customFormat="1" ht="15" customHeight="1">
      <c r="A255" s="1547"/>
      <c r="B255" s="1548"/>
      <c r="C255" s="1570"/>
      <c r="D255" s="1572"/>
      <c r="E255" s="396">
        <v>6059</v>
      </c>
      <c r="F255" s="359">
        <f>SUM(G255:J255)</f>
        <v>51000</v>
      </c>
      <c r="G255" s="359">
        <v>51000</v>
      </c>
      <c r="H255" s="359"/>
      <c r="I255" s="359"/>
      <c r="J255" s="360"/>
      <c r="K255" s="353"/>
    </row>
    <row r="256" spans="1:226" s="354" customFormat="1" ht="24.95" customHeight="1">
      <c r="A256" s="1547" t="s">
        <v>421</v>
      </c>
      <c r="B256" s="1548" t="s">
        <v>422</v>
      </c>
      <c r="C256" s="1570">
        <v>750</v>
      </c>
      <c r="D256" s="1572" t="s">
        <v>3</v>
      </c>
      <c r="E256" s="350" t="s">
        <v>315</v>
      </c>
      <c r="F256" s="351">
        <f>SUM(F257,F271)</f>
        <v>3000000</v>
      </c>
      <c r="G256" s="351">
        <f>SUM(G257,G271)</f>
        <v>0</v>
      </c>
      <c r="H256" s="351">
        <f>SUM(H257,H271)</f>
        <v>3000000</v>
      </c>
      <c r="I256" s="351">
        <f>SUM(I257,I271)</f>
        <v>0</v>
      </c>
      <c r="J256" s="352">
        <f>SUM(J257,J271)</f>
        <v>0</v>
      </c>
      <c r="K256" s="353"/>
    </row>
    <row r="257" spans="1:226" s="354" customFormat="1" ht="24.95" customHeight="1">
      <c r="A257" s="1547"/>
      <c r="B257" s="1548"/>
      <c r="C257" s="1570"/>
      <c r="D257" s="1572"/>
      <c r="E257" s="355" t="s">
        <v>332</v>
      </c>
      <c r="F257" s="356">
        <f>SUM(F258,F263)</f>
        <v>2500000</v>
      </c>
      <c r="G257" s="356">
        <f>SUM(G258,G263)</f>
        <v>0</v>
      </c>
      <c r="H257" s="356">
        <f>SUM(H258,H263)</f>
        <v>2500000</v>
      </c>
      <c r="I257" s="356">
        <f>SUM(I258,I263)</f>
        <v>0</v>
      </c>
      <c r="J257" s="357">
        <f>SUM(J258,J263)</f>
        <v>0</v>
      </c>
      <c r="K257" s="353"/>
    </row>
    <row r="258" spans="1:226" s="354" customFormat="1" ht="24.95" customHeight="1">
      <c r="A258" s="1547"/>
      <c r="B258" s="1548"/>
      <c r="C258" s="1570"/>
      <c r="D258" s="1572"/>
      <c r="E258" s="393" t="s">
        <v>333</v>
      </c>
      <c r="F258" s="394">
        <f>SUM(F259:F262)</f>
        <v>350000</v>
      </c>
      <c r="G258" s="394">
        <f>SUM(G259:G262)</f>
        <v>0</v>
      </c>
      <c r="H258" s="394">
        <f>SUM(H259:H262)</f>
        <v>350000</v>
      </c>
      <c r="I258" s="394">
        <f>SUM(I259:I262)</f>
        <v>0</v>
      </c>
      <c r="J258" s="395">
        <f>SUM(J259:J262)</f>
        <v>0</v>
      </c>
      <c r="K258" s="353"/>
    </row>
    <row r="259" spans="1:226" s="354" customFormat="1" ht="15" customHeight="1">
      <c r="A259" s="1547"/>
      <c r="B259" s="1548"/>
      <c r="C259" s="1570"/>
      <c r="D259" s="1572"/>
      <c r="E259" s="358" t="s">
        <v>391</v>
      </c>
      <c r="F259" s="359">
        <f>SUM(G259:J259)</f>
        <v>250000</v>
      </c>
      <c r="G259" s="359"/>
      <c r="H259" s="359">
        <v>250000</v>
      </c>
      <c r="I259" s="359"/>
      <c r="J259" s="360"/>
      <c r="K259" s="353"/>
    </row>
    <row r="260" spans="1:226" s="354" customFormat="1" ht="15" customHeight="1">
      <c r="A260" s="1547"/>
      <c r="B260" s="1548"/>
      <c r="C260" s="1570"/>
      <c r="D260" s="1572"/>
      <c r="E260" s="358" t="s">
        <v>393</v>
      </c>
      <c r="F260" s="359">
        <f t="shared" ref="F260:F261" si="20">SUM(G260:J260)</f>
        <v>43550</v>
      </c>
      <c r="G260" s="359"/>
      <c r="H260" s="359">
        <v>43550</v>
      </c>
      <c r="I260" s="359"/>
      <c r="J260" s="360"/>
      <c r="K260" s="353"/>
    </row>
    <row r="261" spans="1:226" s="354" customFormat="1" ht="15" customHeight="1">
      <c r="A261" s="1547"/>
      <c r="B261" s="1548"/>
      <c r="C261" s="1570"/>
      <c r="D261" s="1572"/>
      <c r="E261" s="358" t="s">
        <v>394</v>
      </c>
      <c r="F261" s="359">
        <f t="shared" si="20"/>
        <v>6450</v>
      </c>
      <c r="G261" s="359"/>
      <c r="H261" s="359">
        <v>6450</v>
      </c>
      <c r="I261" s="359"/>
      <c r="J261" s="360"/>
      <c r="K261" s="353"/>
    </row>
    <row r="262" spans="1:226" s="354" customFormat="1" ht="15" customHeight="1">
      <c r="A262" s="1547"/>
      <c r="B262" s="1548"/>
      <c r="C262" s="1570"/>
      <c r="D262" s="1572"/>
      <c r="E262" s="358" t="s">
        <v>395</v>
      </c>
      <c r="F262" s="359">
        <f>SUM(G262:J262)</f>
        <v>50000</v>
      </c>
      <c r="G262" s="359"/>
      <c r="H262" s="359">
        <v>50000</v>
      </c>
      <c r="I262" s="359"/>
      <c r="J262" s="360"/>
      <c r="K262" s="353"/>
    </row>
    <row r="263" spans="1:226" s="354" customFormat="1" ht="24.95" customHeight="1">
      <c r="A263" s="1547"/>
      <c r="B263" s="1548"/>
      <c r="C263" s="1570"/>
      <c r="D263" s="1572"/>
      <c r="E263" s="393" t="s">
        <v>338</v>
      </c>
      <c r="F263" s="394">
        <f>SUM(F264:F270)</f>
        <v>2150000</v>
      </c>
      <c r="G263" s="394">
        <f>SUM(G264:G270)</f>
        <v>0</v>
      </c>
      <c r="H263" s="394">
        <f>SUM(H264:H270)</f>
        <v>2150000</v>
      </c>
      <c r="I263" s="394">
        <f>SUM(I264:I270)</f>
        <v>0</v>
      </c>
      <c r="J263" s="395">
        <f>SUM(J264:J270)</f>
        <v>0</v>
      </c>
      <c r="K263" s="353"/>
      <c r="L263" s="353"/>
      <c r="M263" s="353"/>
      <c r="N263" s="353"/>
      <c r="O263" s="353"/>
      <c r="P263" s="353"/>
      <c r="Q263" s="353"/>
      <c r="R263" s="353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  <c r="AG263" s="353"/>
      <c r="AH263" s="353"/>
      <c r="AI263" s="353"/>
      <c r="AJ263" s="353"/>
      <c r="AK263" s="353"/>
      <c r="AL263" s="353"/>
      <c r="AM263" s="353"/>
      <c r="AN263" s="353"/>
      <c r="AO263" s="353"/>
      <c r="AP263" s="353"/>
      <c r="AQ263" s="353"/>
      <c r="AR263" s="353"/>
      <c r="AS263" s="353"/>
      <c r="AT263" s="353"/>
      <c r="AU263" s="353"/>
      <c r="AV263" s="353"/>
      <c r="AW263" s="353"/>
      <c r="AX263" s="353"/>
      <c r="AY263" s="353"/>
      <c r="AZ263" s="353"/>
      <c r="BA263" s="353"/>
      <c r="BB263" s="353"/>
      <c r="BC263" s="353"/>
      <c r="BD263" s="353"/>
      <c r="BE263" s="353"/>
      <c r="BF263" s="353"/>
      <c r="BG263" s="353"/>
      <c r="BH263" s="353"/>
      <c r="BI263" s="353"/>
      <c r="BJ263" s="353"/>
      <c r="BK263" s="353"/>
      <c r="BL263" s="353"/>
      <c r="BM263" s="353"/>
      <c r="BN263" s="353"/>
      <c r="BO263" s="353"/>
      <c r="BP263" s="353"/>
      <c r="BQ263" s="353"/>
      <c r="BR263" s="353"/>
      <c r="BS263" s="353"/>
      <c r="BT263" s="353"/>
      <c r="BU263" s="353"/>
      <c r="BV263" s="353"/>
      <c r="BW263" s="353"/>
      <c r="BX263" s="353"/>
      <c r="BY263" s="353"/>
      <c r="BZ263" s="353"/>
      <c r="CA263" s="353"/>
      <c r="CB263" s="353"/>
      <c r="CC263" s="353"/>
      <c r="CD263" s="353"/>
      <c r="CE263" s="353"/>
      <c r="CF263" s="353"/>
      <c r="CG263" s="353"/>
      <c r="CH263" s="353"/>
      <c r="CI263" s="353"/>
      <c r="CJ263" s="353"/>
      <c r="CK263" s="353"/>
      <c r="CL263" s="353"/>
      <c r="CM263" s="353"/>
      <c r="CN263" s="353"/>
      <c r="CO263" s="353"/>
      <c r="CP263" s="353"/>
      <c r="CQ263" s="353"/>
      <c r="CR263" s="353"/>
      <c r="CS263" s="353"/>
      <c r="CT263" s="353"/>
      <c r="CU263" s="353"/>
      <c r="CV263" s="353"/>
      <c r="CW263" s="353"/>
      <c r="CX263" s="353"/>
      <c r="CY263" s="353"/>
      <c r="CZ263" s="353"/>
      <c r="DA263" s="353"/>
      <c r="DB263" s="353"/>
      <c r="DC263" s="353"/>
      <c r="DD263" s="353"/>
      <c r="DE263" s="353"/>
      <c r="DF263" s="353"/>
      <c r="DG263" s="353"/>
      <c r="DH263" s="353"/>
      <c r="DI263" s="353"/>
      <c r="DJ263" s="353"/>
      <c r="DK263" s="353"/>
      <c r="DL263" s="353"/>
      <c r="DM263" s="353"/>
      <c r="DN263" s="353"/>
      <c r="DO263" s="353"/>
      <c r="DP263" s="353"/>
      <c r="DQ263" s="353"/>
      <c r="DR263" s="353"/>
      <c r="DS263" s="353"/>
      <c r="DT263" s="353"/>
      <c r="DU263" s="353"/>
      <c r="DV263" s="353"/>
      <c r="DW263" s="353"/>
      <c r="DX263" s="353"/>
      <c r="DY263" s="353"/>
      <c r="DZ263" s="353"/>
      <c r="EA263" s="353"/>
      <c r="EB263" s="353"/>
      <c r="EC263" s="353"/>
      <c r="ED263" s="353"/>
      <c r="EE263" s="353"/>
      <c r="EF263" s="353"/>
      <c r="EG263" s="353"/>
      <c r="EH263" s="353"/>
      <c r="EI263" s="353"/>
      <c r="EJ263" s="353"/>
      <c r="EK263" s="353"/>
      <c r="EL263" s="353"/>
      <c r="EM263" s="353"/>
      <c r="EN263" s="353"/>
      <c r="EO263" s="353"/>
      <c r="EP263" s="353"/>
      <c r="EQ263" s="353"/>
      <c r="ER263" s="353"/>
      <c r="ES263" s="353"/>
      <c r="ET263" s="353"/>
      <c r="EU263" s="353"/>
      <c r="EV263" s="353"/>
      <c r="EW263" s="353"/>
      <c r="EX263" s="353"/>
      <c r="EY263" s="353"/>
      <c r="EZ263" s="353"/>
      <c r="FA263" s="353"/>
      <c r="FB263" s="353"/>
      <c r="FC263" s="353"/>
      <c r="FD263" s="353"/>
      <c r="FE263" s="353"/>
      <c r="FF263" s="353"/>
      <c r="FG263" s="353"/>
      <c r="FH263" s="353"/>
      <c r="FI263" s="353"/>
      <c r="FJ263" s="353"/>
      <c r="FK263" s="353"/>
      <c r="FL263" s="353"/>
      <c r="FM263" s="353"/>
      <c r="FN263" s="353"/>
      <c r="FO263" s="353"/>
      <c r="FP263" s="353"/>
      <c r="FQ263" s="353"/>
      <c r="FR263" s="353"/>
      <c r="FS263" s="353"/>
      <c r="FT263" s="353"/>
      <c r="FU263" s="353"/>
      <c r="FV263" s="353"/>
      <c r="FW263" s="353"/>
      <c r="FX263" s="353"/>
      <c r="FY263" s="353"/>
      <c r="FZ263" s="353"/>
      <c r="GA263" s="353"/>
      <c r="GB263" s="353"/>
      <c r="GC263" s="353"/>
      <c r="GD263" s="353"/>
      <c r="GE263" s="353"/>
      <c r="GF263" s="353"/>
      <c r="GG263" s="353"/>
      <c r="GH263" s="353"/>
      <c r="GI263" s="353"/>
      <c r="GJ263" s="353"/>
      <c r="GK263" s="353"/>
      <c r="GL263" s="353"/>
      <c r="GM263" s="353"/>
      <c r="GN263" s="353"/>
      <c r="GO263" s="353"/>
      <c r="GP263" s="353"/>
      <c r="GQ263" s="353"/>
      <c r="GR263" s="353"/>
      <c r="GS263" s="353"/>
      <c r="GT263" s="353"/>
      <c r="GU263" s="353"/>
      <c r="GV263" s="353"/>
      <c r="GW263" s="353"/>
      <c r="GX263" s="353"/>
      <c r="GY263" s="353"/>
      <c r="GZ263" s="353"/>
      <c r="HA263" s="353"/>
      <c r="HB263" s="353"/>
      <c r="HC263" s="353"/>
      <c r="HD263" s="353"/>
      <c r="HE263" s="353"/>
      <c r="HF263" s="353"/>
      <c r="HG263" s="353"/>
      <c r="HH263" s="353"/>
      <c r="HI263" s="353"/>
      <c r="HJ263" s="353"/>
      <c r="HK263" s="353"/>
      <c r="HL263" s="353"/>
      <c r="HM263" s="353"/>
      <c r="HN263" s="353"/>
      <c r="HO263" s="353"/>
      <c r="HP263" s="353"/>
      <c r="HQ263" s="353"/>
      <c r="HR263" s="353"/>
    </row>
    <row r="264" spans="1:226" s="354" customFormat="1" ht="15" customHeight="1">
      <c r="A264" s="1547"/>
      <c r="B264" s="1548"/>
      <c r="C264" s="1570"/>
      <c r="D264" s="1572"/>
      <c r="E264" s="358" t="s">
        <v>396</v>
      </c>
      <c r="F264" s="359">
        <f>SUM(G264:J264)</f>
        <v>160000</v>
      </c>
      <c r="G264" s="359"/>
      <c r="H264" s="359">
        <v>160000</v>
      </c>
      <c r="I264" s="359"/>
      <c r="J264" s="360"/>
      <c r="K264" s="353"/>
    </row>
    <row r="265" spans="1:226" s="354" customFormat="1" ht="15" customHeight="1">
      <c r="A265" s="1547"/>
      <c r="B265" s="1548"/>
      <c r="C265" s="1570"/>
      <c r="D265" s="1572"/>
      <c r="E265" s="358" t="s">
        <v>397</v>
      </c>
      <c r="F265" s="359">
        <f t="shared" ref="F265:F270" si="21">SUM(G265:J265)</f>
        <v>1580000</v>
      </c>
      <c r="G265" s="359"/>
      <c r="H265" s="359">
        <v>1580000</v>
      </c>
      <c r="I265" s="359"/>
      <c r="J265" s="360"/>
      <c r="K265" s="353"/>
    </row>
    <row r="266" spans="1:226" s="354" customFormat="1" ht="15" customHeight="1">
      <c r="A266" s="1547"/>
      <c r="B266" s="1548"/>
      <c r="C266" s="1570"/>
      <c r="D266" s="1572"/>
      <c r="E266" s="358" t="s">
        <v>398</v>
      </c>
      <c r="F266" s="359">
        <f t="shared" si="21"/>
        <v>40000</v>
      </c>
      <c r="G266" s="359"/>
      <c r="H266" s="359">
        <v>40000</v>
      </c>
      <c r="I266" s="359"/>
      <c r="J266" s="360"/>
      <c r="K266" s="353"/>
    </row>
    <row r="267" spans="1:226" s="354" customFormat="1" ht="15" customHeight="1">
      <c r="A267" s="1547"/>
      <c r="B267" s="1548"/>
      <c r="C267" s="1570"/>
      <c r="D267" s="1572"/>
      <c r="E267" s="358" t="s">
        <v>399</v>
      </c>
      <c r="F267" s="359">
        <f t="shared" si="21"/>
        <v>50000</v>
      </c>
      <c r="G267" s="359"/>
      <c r="H267" s="359">
        <v>50000</v>
      </c>
      <c r="I267" s="359"/>
      <c r="J267" s="360"/>
      <c r="K267" s="353"/>
    </row>
    <row r="268" spans="1:226" s="354" customFormat="1" ht="15" customHeight="1">
      <c r="A268" s="1547"/>
      <c r="B268" s="1548"/>
      <c r="C268" s="1570"/>
      <c r="D268" s="1572"/>
      <c r="E268" s="358" t="s">
        <v>400</v>
      </c>
      <c r="F268" s="359">
        <f t="shared" si="21"/>
        <v>40000</v>
      </c>
      <c r="G268" s="359"/>
      <c r="H268" s="359">
        <v>40000</v>
      </c>
      <c r="I268" s="359"/>
      <c r="J268" s="360"/>
      <c r="K268" s="353"/>
    </row>
    <row r="269" spans="1:226" s="354" customFormat="1" ht="15" customHeight="1">
      <c r="A269" s="1547"/>
      <c r="B269" s="1548"/>
      <c r="C269" s="1570"/>
      <c r="D269" s="1572"/>
      <c r="E269" s="358" t="s">
        <v>418</v>
      </c>
      <c r="F269" s="359">
        <f t="shared" si="21"/>
        <v>200000</v>
      </c>
      <c r="G269" s="359"/>
      <c r="H269" s="359">
        <v>200000</v>
      </c>
      <c r="I269" s="359"/>
      <c r="J269" s="360"/>
      <c r="K269" s="353"/>
    </row>
    <row r="270" spans="1:226" s="354" customFormat="1" ht="15" customHeight="1">
      <c r="A270" s="1547"/>
      <c r="B270" s="1548"/>
      <c r="C270" s="1570"/>
      <c r="D270" s="1572"/>
      <c r="E270" s="358" t="s">
        <v>403</v>
      </c>
      <c r="F270" s="359">
        <f t="shared" si="21"/>
        <v>80000</v>
      </c>
      <c r="G270" s="359"/>
      <c r="H270" s="359">
        <v>80000</v>
      </c>
      <c r="I270" s="359"/>
      <c r="J270" s="360"/>
      <c r="K270" s="353"/>
    </row>
    <row r="271" spans="1:226" s="354" customFormat="1" ht="24.95" customHeight="1">
      <c r="A271" s="1547"/>
      <c r="B271" s="1548"/>
      <c r="C271" s="1570"/>
      <c r="D271" s="1572"/>
      <c r="E271" s="361" t="s">
        <v>318</v>
      </c>
      <c r="F271" s="356">
        <f>SUM(F272:F273)</f>
        <v>500000</v>
      </c>
      <c r="G271" s="356">
        <f>SUM(G272:G273)</f>
        <v>0</v>
      </c>
      <c r="H271" s="356">
        <f>SUM(H272:H273)</f>
        <v>500000</v>
      </c>
      <c r="I271" s="356">
        <f>SUM(I272:I273)</f>
        <v>0</v>
      </c>
      <c r="J271" s="357">
        <f>SUM(J272:J273)</f>
        <v>0</v>
      </c>
      <c r="K271" s="353"/>
    </row>
    <row r="272" spans="1:226" s="354" customFormat="1" ht="15" hidden="1" customHeight="1">
      <c r="A272" s="1547"/>
      <c r="B272" s="1548"/>
      <c r="C272" s="1570"/>
      <c r="D272" s="1572"/>
      <c r="E272" s="358"/>
      <c r="F272" s="359">
        <f>SUM(G272:J272)</f>
        <v>0</v>
      </c>
      <c r="G272" s="359"/>
      <c r="H272" s="359"/>
      <c r="I272" s="359"/>
      <c r="J272" s="360"/>
      <c r="K272" s="353"/>
    </row>
    <row r="273" spans="1:226" s="354" customFormat="1" ht="15" customHeight="1">
      <c r="A273" s="1547"/>
      <c r="B273" s="1548"/>
      <c r="C273" s="1570"/>
      <c r="D273" s="1572"/>
      <c r="E273" s="396">
        <v>6067</v>
      </c>
      <c r="F273" s="359">
        <f>SUM(G273:J273)</f>
        <v>500000</v>
      </c>
      <c r="G273" s="359"/>
      <c r="H273" s="359">
        <v>500000</v>
      </c>
      <c r="I273" s="359"/>
      <c r="J273" s="360"/>
      <c r="K273" s="353"/>
    </row>
    <row r="274" spans="1:226" s="354" customFormat="1" ht="22.5" customHeight="1">
      <c r="A274" s="1556" t="s">
        <v>423</v>
      </c>
      <c r="B274" s="1559" t="s">
        <v>424</v>
      </c>
      <c r="C274" s="1562">
        <v>921</v>
      </c>
      <c r="D274" s="1565" t="s">
        <v>425</v>
      </c>
      <c r="E274" s="350" t="s">
        <v>315</v>
      </c>
      <c r="F274" s="351">
        <f>SUM(F275,F282)</f>
        <v>3470533</v>
      </c>
      <c r="G274" s="351">
        <f>SUM(G275,G282)</f>
        <v>520580</v>
      </c>
      <c r="H274" s="351">
        <f>SUM(H275,H282)</f>
        <v>2949953</v>
      </c>
      <c r="I274" s="351">
        <f>SUM(I275,I282)</f>
        <v>0</v>
      </c>
      <c r="J274" s="352">
        <f>SUM(J275,J282)</f>
        <v>0</v>
      </c>
      <c r="K274" s="353"/>
    </row>
    <row r="275" spans="1:226" s="354" customFormat="1" ht="21">
      <c r="A275" s="1557"/>
      <c r="B275" s="1560"/>
      <c r="C275" s="1563"/>
      <c r="D275" s="1566"/>
      <c r="E275" s="355" t="s">
        <v>332</v>
      </c>
      <c r="F275" s="356">
        <f>SUM(F276,F279)</f>
        <v>0</v>
      </c>
      <c r="G275" s="356">
        <f>SUM(G276,G279)</f>
        <v>0</v>
      </c>
      <c r="H275" s="356">
        <f>SUM(H276,H279)</f>
        <v>0</v>
      </c>
      <c r="I275" s="356">
        <f>SUM(I276,I279)</f>
        <v>0</v>
      </c>
      <c r="J275" s="357">
        <f>SUM(J276,J279)</f>
        <v>0</v>
      </c>
      <c r="K275" s="353"/>
    </row>
    <row r="276" spans="1:226" s="354" customFormat="1" ht="24.95" hidden="1" customHeight="1">
      <c r="A276" s="1557"/>
      <c r="B276" s="1560"/>
      <c r="C276" s="1563"/>
      <c r="D276" s="1566"/>
      <c r="E276" s="393" t="s">
        <v>333</v>
      </c>
      <c r="F276" s="394">
        <f>SUM(F277:F278)</f>
        <v>0</v>
      </c>
      <c r="G276" s="394">
        <f>SUM(G277:G278)</f>
        <v>0</v>
      </c>
      <c r="H276" s="394">
        <f>SUM(H277:H278)</f>
        <v>0</v>
      </c>
      <c r="I276" s="394">
        <f>SUM(I277:I278)</f>
        <v>0</v>
      </c>
      <c r="J276" s="395">
        <f>SUM(J277:J278)</f>
        <v>0</v>
      </c>
      <c r="K276" s="353"/>
    </row>
    <row r="277" spans="1:226" s="354" customFormat="1" ht="15" hidden="1" customHeight="1">
      <c r="A277" s="1557"/>
      <c r="B277" s="1560"/>
      <c r="C277" s="1563"/>
      <c r="D277" s="1566"/>
      <c r="E277" s="358"/>
      <c r="F277" s="359">
        <f>SUM(G277:J277)</f>
        <v>0</v>
      </c>
      <c r="G277" s="359"/>
      <c r="H277" s="359"/>
      <c r="I277" s="359"/>
      <c r="J277" s="360"/>
      <c r="K277" s="353"/>
    </row>
    <row r="278" spans="1:226" s="354" customFormat="1" ht="15" hidden="1" customHeight="1">
      <c r="A278" s="1557"/>
      <c r="B278" s="1560"/>
      <c r="C278" s="1563"/>
      <c r="D278" s="1566"/>
      <c r="E278" s="358"/>
      <c r="F278" s="359">
        <f t="shared" ref="F278" si="22">SUM(G278:J278)</f>
        <v>0</v>
      </c>
      <c r="G278" s="359"/>
      <c r="H278" s="359"/>
      <c r="I278" s="359"/>
      <c r="J278" s="360"/>
      <c r="K278" s="353"/>
    </row>
    <row r="279" spans="1:226" s="354" customFormat="1" ht="24.95" hidden="1" customHeight="1">
      <c r="A279" s="1557"/>
      <c r="B279" s="1560"/>
      <c r="C279" s="1563"/>
      <c r="D279" s="1566"/>
      <c r="E279" s="393" t="s">
        <v>338</v>
      </c>
      <c r="F279" s="394">
        <f>SUM(F280:F281)</f>
        <v>0</v>
      </c>
      <c r="G279" s="394">
        <f>SUM(G280:G281)</f>
        <v>0</v>
      </c>
      <c r="H279" s="394">
        <f>SUM(H280:H281)</f>
        <v>0</v>
      </c>
      <c r="I279" s="394">
        <f>SUM(I280:I281)</f>
        <v>0</v>
      </c>
      <c r="J279" s="395">
        <f>SUM(J280:J281)</f>
        <v>0</v>
      </c>
      <c r="K279" s="353"/>
      <c r="L279" s="353"/>
      <c r="M279" s="353"/>
      <c r="N279" s="353"/>
      <c r="O279" s="353"/>
      <c r="P279" s="353"/>
      <c r="Q279" s="353"/>
      <c r="R279" s="353"/>
      <c r="S279" s="353"/>
      <c r="T279" s="353"/>
      <c r="U279" s="353"/>
      <c r="V279" s="353"/>
      <c r="W279" s="353"/>
      <c r="X279" s="353"/>
      <c r="Y279" s="353"/>
      <c r="Z279" s="353"/>
      <c r="AA279" s="353"/>
      <c r="AB279" s="353"/>
      <c r="AC279" s="353"/>
      <c r="AD279" s="353"/>
      <c r="AE279" s="353"/>
      <c r="AF279" s="353"/>
      <c r="AG279" s="353"/>
      <c r="AH279" s="353"/>
      <c r="AI279" s="353"/>
      <c r="AJ279" s="353"/>
      <c r="AK279" s="353"/>
      <c r="AL279" s="353"/>
      <c r="AM279" s="353"/>
      <c r="AN279" s="353"/>
      <c r="AO279" s="353"/>
      <c r="AP279" s="353"/>
      <c r="AQ279" s="353"/>
      <c r="AR279" s="353"/>
      <c r="AS279" s="353"/>
      <c r="AT279" s="353"/>
      <c r="AU279" s="353"/>
      <c r="AV279" s="353"/>
      <c r="AW279" s="353"/>
      <c r="AX279" s="353"/>
      <c r="AY279" s="353"/>
      <c r="AZ279" s="353"/>
      <c r="BA279" s="353"/>
      <c r="BB279" s="353"/>
      <c r="BC279" s="353"/>
      <c r="BD279" s="353"/>
      <c r="BE279" s="353"/>
      <c r="BF279" s="353"/>
      <c r="BG279" s="353"/>
      <c r="BH279" s="353"/>
      <c r="BI279" s="353"/>
      <c r="BJ279" s="353"/>
      <c r="BK279" s="353"/>
      <c r="BL279" s="353"/>
      <c r="BM279" s="353"/>
      <c r="BN279" s="353"/>
      <c r="BO279" s="353"/>
      <c r="BP279" s="353"/>
      <c r="BQ279" s="353"/>
      <c r="BR279" s="353"/>
      <c r="BS279" s="353"/>
      <c r="BT279" s="353"/>
      <c r="BU279" s="353"/>
      <c r="BV279" s="353"/>
      <c r="BW279" s="353"/>
      <c r="BX279" s="353"/>
      <c r="BY279" s="353"/>
      <c r="BZ279" s="353"/>
      <c r="CA279" s="353"/>
      <c r="CB279" s="353"/>
      <c r="CC279" s="353"/>
      <c r="CD279" s="353"/>
      <c r="CE279" s="353"/>
      <c r="CF279" s="353"/>
      <c r="CG279" s="353"/>
      <c r="CH279" s="353"/>
      <c r="CI279" s="353"/>
      <c r="CJ279" s="353"/>
      <c r="CK279" s="353"/>
      <c r="CL279" s="353"/>
      <c r="CM279" s="353"/>
      <c r="CN279" s="353"/>
      <c r="CO279" s="353"/>
      <c r="CP279" s="353"/>
      <c r="CQ279" s="353"/>
      <c r="CR279" s="353"/>
      <c r="CS279" s="353"/>
      <c r="CT279" s="353"/>
      <c r="CU279" s="353"/>
      <c r="CV279" s="353"/>
      <c r="CW279" s="353"/>
      <c r="CX279" s="353"/>
      <c r="CY279" s="353"/>
      <c r="CZ279" s="353"/>
      <c r="DA279" s="353"/>
      <c r="DB279" s="353"/>
      <c r="DC279" s="353"/>
      <c r="DD279" s="353"/>
      <c r="DE279" s="353"/>
      <c r="DF279" s="353"/>
      <c r="DG279" s="353"/>
      <c r="DH279" s="353"/>
      <c r="DI279" s="353"/>
      <c r="DJ279" s="353"/>
      <c r="DK279" s="353"/>
      <c r="DL279" s="353"/>
      <c r="DM279" s="353"/>
      <c r="DN279" s="353"/>
      <c r="DO279" s="353"/>
      <c r="DP279" s="353"/>
      <c r="DQ279" s="353"/>
      <c r="DR279" s="353"/>
      <c r="DS279" s="353"/>
      <c r="DT279" s="353"/>
      <c r="DU279" s="353"/>
      <c r="DV279" s="353"/>
      <c r="DW279" s="353"/>
      <c r="DX279" s="353"/>
      <c r="DY279" s="353"/>
      <c r="DZ279" s="353"/>
      <c r="EA279" s="353"/>
      <c r="EB279" s="353"/>
      <c r="EC279" s="353"/>
      <c r="ED279" s="353"/>
      <c r="EE279" s="353"/>
      <c r="EF279" s="353"/>
      <c r="EG279" s="353"/>
      <c r="EH279" s="353"/>
      <c r="EI279" s="353"/>
      <c r="EJ279" s="353"/>
      <c r="EK279" s="353"/>
      <c r="EL279" s="353"/>
      <c r="EM279" s="353"/>
      <c r="EN279" s="353"/>
      <c r="EO279" s="353"/>
      <c r="EP279" s="353"/>
      <c r="EQ279" s="353"/>
      <c r="ER279" s="353"/>
      <c r="ES279" s="353"/>
      <c r="ET279" s="353"/>
      <c r="EU279" s="353"/>
      <c r="EV279" s="353"/>
      <c r="EW279" s="353"/>
      <c r="EX279" s="353"/>
      <c r="EY279" s="353"/>
      <c r="EZ279" s="353"/>
      <c r="FA279" s="353"/>
      <c r="FB279" s="353"/>
      <c r="FC279" s="353"/>
      <c r="FD279" s="353"/>
      <c r="FE279" s="353"/>
      <c r="FF279" s="353"/>
      <c r="FG279" s="353"/>
      <c r="FH279" s="353"/>
      <c r="FI279" s="353"/>
      <c r="FJ279" s="353"/>
      <c r="FK279" s="353"/>
      <c r="FL279" s="353"/>
      <c r="FM279" s="353"/>
      <c r="FN279" s="353"/>
      <c r="FO279" s="353"/>
      <c r="FP279" s="353"/>
      <c r="FQ279" s="353"/>
      <c r="FR279" s="353"/>
      <c r="FS279" s="353"/>
      <c r="FT279" s="353"/>
      <c r="FU279" s="353"/>
      <c r="FV279" s="353"/>
      <c r="FW279" s="353"/>
      <c r="FX279" s="353"/>
      <c r="FY279" s="353"/>
      <c r="FZ279" s="353"/>
      <c r="GA279" s="353"/>
      <c r="GB279" s="353"/>
      <c r="GC279" s="353"/>
      <c r="GD279" s="353"/>
      <c r="GE279" s="353"/>
      <c r="GF279" s="353"/>
      <c r="GG279" s="353"/>
      <c r="GH279" s="353"/>
      <c r="GI279" s="353"/>
      <c r="GJ279" s="353"/>
      <c r="GK279" s="353"/>
      <c r="GL279" s="353"/>
      <c r="GM279" s="353"/>
      <c r="GN279" s="353"/>
      <c r="GO279" s="353"/>
      <c r="GP279" s="353"/>
      <c r="GQ279" s="353"/>
      <c r="GR279" s="353"/>
      <c r="GS279" s="353"/>
      <c r="GT279" s="353"/>
      <c r="GU279" s="353"/>
      <c r="GV279" s="353"/>
      <c r="GW279" s="353"/>
      <c r="GX279" s="353"/>
      <c r="GY279" s="353"/>
      <c r="GZ279" s="353"/>
      <c r="HA279" s="353"/>
      <c r="HB279" s="353"/>
      <c r="HC279" s="353"/>
      <c r="HD279" s="353"/>
      <c r="HE279" s="353"/>
      <c r="HF279" s="353"/>
      <c r="HG279" s="353"/>
      <c r="HH279" s="353"/>
      <c r="HI279" s="353"/>
      <c r="HJ279" s="353"/>
      <c r="HK279" s="353"/>
      <c r="HL279" s="353"/>
      <c r="HM279" s="353"/>
      <c r="HN279" s="353"/>
      <c r="HO279" s="353"/>
      <c r="HP279" s="353"/>
      <c r="HQ279" s="353"/>
      <c r="HR279" s="353"/>
    </row>
    <row r="280" spans="1:226" s="354" customFormat="1" ht="15" hidden="1" customHeight="1">
      <c r="A280" s="1557"/>
      <c r="B280" s="1560"/>
      <c r="C280" s="1563"/>
      <c r="D280" s="1566"/>
      <c r="E280" s="358"/>
      <c r="F280" s="359">
        <f>SUM(G280:J280)</f>
        <v>0</v>
      </c>
      <c r="G280" s="359"/>
      <c r="H280" s="359"/>
      <c r="I280" s="359"/>
      <c r="J280" s="360"/>
      <c r="K280" s="353"/>
    </row>
    <row r="281" spans="1:226" s="354" customFormat="1" ht="15" hidden="1" customHeight="1">
      <c r="A281" s="1557"/>
      <c r="B281" s="1560"/>
      <c r="C281" s="1563"/>
      <c r="D281" s="1566"/>
      <c r="E281" s="358"/>
      <c r="F281" s="359">
        <f t="shared" ref="F281" si="23">SUM(G281:J281)</f>
        <v>0</v>
      </c>
      <c r="G281" s="359">
        <f>140000-140000</f>
        <v>0</v>
      </c>
      <c r="H281" s="359"/>
      <c r="I281" s="359"/>
      <c r="J281" s="360"/>
      <c r="K281" s="353"/>
    </row>
    <row r="282" spans="1:226" s="354" customFormat="1" ht="20.25" customHeight="1">
      <c r="A282" s="1557"/>
      <c r="B282" s="1560"/>
      <c r="C282" s="1563"/>
      <c r="D282" s="1566"/>
      <c r="E282" s="361" t="s">
        <v>318</v>
      </c>
      <c r="F282" s="356">
        <f>SUM(F283:F284)</f>
        <v>3470533</v>
      </c>
      <c r="G282" s="356">
        <f>SUM(G283:G284)</f>
        <v>520580</v>
      </c>
      <c r="H282" s="356">
        <f>SUM(H283:H284)</f>
        <v>2949953</v>
      </c>
      <c r="I282" s="356">
        <f>SUM(I283:I284)</f>
        <v>0</v>
      </c>
      <c r="J282" s="357">
        <f>SUM(J283:J284)</f>
        <v>0</v>
      </c>
      <c r="K282" s="353"/>
    </row>
    <row r="283" spans="1:226" s="354" customFormat="1" ht="15" customHeight="1">
      <c r="A283" s="1557"/>
      <c r="B283" s="1560"/>
      <c r="C283" s="1563"/>
      <c r="D283" s="1566"/>
      <c r="E283" s="401" t="s">
        <v>414</v>
      </c>
      <c r="F283" s="402">
        <f>SUM(G283:J283)</f>
        <v>2949953</v>
      </c>
      <c r="G283" s="402"/>
      <c r="H283" s="402">
        <v>2949953</v>
      </c>
      <c r="I283" s="402"/>
      <c r="J283" s="403"/>
      <c r="K283" s="353"/>
    </row>
    <row r="284" spans="1:226" s="354" customFormat="1" ht="15" customHeight="1">
      <c r="A284" s="1558"/>
      <c r="B284" s="1561"/>
      <c r="C284" s="1564"/>
      <c r="D284" s="1567"/>
      <c r="E284" s="396">
        <v>6059</v>
      </c>
      <c r="F284" s="359">
        <f t="shared" ref="F284" si="24">SUM(G284:J284)</f>
        <v>520580</v>
      </c>
      <c r="G284" s="359">
        <v>520580</v>
      </c>
      <c r="H284" s="359"/>
      <c r="I284" s="359"/>
      <c r="J284" s="360"/>
      <c r="K284" s="353"/>
    </row>
    <row r="285" spans="1:226" s="354" customFormat="1" ht="22.5" customHeight="1">
      <c r="A285" s="1556" t="s">
        <v>426</v>
      </c>
      <c r="B285" s="1559" t="s">
        <v>427</v>
      </c>
      <c r="C285" s="1562">
        <v>854</v>
      </c>
      <c r="D285" s="1565" t="s">
        <v>428</v>
      </c>
      <c r="E285" s="350" t="s">
        <v>315</v>
      </c>
      <c r="F285" s="351">
        <f>SUM(F286,F305)</f>
        <v>1182500</v>
      </c>
      <c r="G285" s="351">
        <f>SUM(G286,G305)</f>
        <v>59125</v>
      </c>
      <c r="H285" s="351">
        <f>SUM(H286,H305)</f>
        <v>1005125</v>
      </c>
      <c r="I285" s="351">
        <f>SUM(I286,I305)</f>
        <v>118250</v>
      </c>
      <c r="J285" s="352">
        <f>SUM(J286,J305)</f>
        <v>0</v>
      </c>
      <c r="K285" s="353"/>
    </row>
    <row r="286" spans="1:226" s="354" customFormat="1" ht="21">
      <c r="A286" s="1557"/>
      <c r="B286" s="1560"/>
      <c r="C286" s="1563"/>
      <c r="D286" s="1566"/>
      <c r="E286" s="355" t="s">
        <v>332</v>
      </c>
      <c r="F286" s="356">
        <f>SUM(F287,F294)</f>
        <v>1182500</v>
      </c>
      <c r="G286" s="356">
        <f>SUM(G287,G294)</f>
        <v>59125</v>
      </c>
      <c r="H286" s="356">
        <f>SUM(H287,H294)</f>
        <v>1005125</v>
      </c>
      <c r="I286" s="356">
        <f>SUM(I287,I294)</f>
        <v>118250</v>
      </c>
      <c r="J286" s="357">
        <f>SUM(J287,J294)</f>
        <v>0</v>
      </c>
      <c r="K286" s="353"/>
    </row>
    <row r="287" spans="1:226" s="354" customFormat="1" ht="24.95" customHeight="1">
      <c r="A287" s="1557"/>
      <c r="B287" s="1560"/>
      <c r="C287" s="1563"/>
      <c r="D287" s="1566"/>
      <c r="E287" s="393" t="s">
        <v>333</v>
      </c>
      <c r="F287" s="394">
        <f>SUM(F288:F293)</f>
        <v>74250</v>
      </c>
      <c r="G287" s="394">
        <f>SUM(G288:G293)</f>
        <v>3713</v>
      </c>
      <c r="H287" s="394">
        <f>SUM(H288:H293)</f>
        <v>63113</v>
      </c>
      <c r="I287" s="394">
        <f>SUM(I288:I293)</f>
        <v>7424</v>
      </c>
      <c r="J287" s="395">
        <f>SUM(J288:J293)</f>
        <v>0</v>
      </c>
      <c r="K287" s="353"/>
    </row>
    <row r="288" spans="1:226" s="354" customFormat="1" ht="15" customHeight="1">
      <c r="A288" s="1557"/>
      <c r="B288" s="1560"/>
      <c r="C288" s="1563"/>
      <c r="D288" s="1566"/>
      <c r="E288" s="358" t="s">
        <v>391</v>
      </c>
      <c r="F288" s="359">
        <f>SUM(G288:J288)</f>
        <v>52669</v>
      </c>
      <c r="G288" s="359"/>
      <c r="H288" s="359">
        <v>52669</v>
      </c>
      <c r="I288" s="359"/>
      <c r="J288" s="360"/>
      <c r="K288" s="353"/>
    </row>
    <row r="289" spans="1:226" s="354" customFormat="1" ht="15" customHeight="1">
      <c r="A289" s="1557"/>
      <c r="B289" s="1560"/>
      <c r="C289" s="1563"/>
      <c r="D289" s="1566"/>
      <c r="E289" s="358" t="s">
        <v>363</v>
      </c>
      <c r="F289" s="359">
        <f t="shared" ref="F289:F291" si="25">SUM(G289:J289)</f>
        <v>9294</v>
      </c>
      <c r="G289" s="359">
        <v>3098</v>
      </c>
      <c r="H289" s="359"/>
      <c r="I289" s="359">
        <v>6196</v>
      </c>
      <c r="J289" s="360"/>
      <c r="K289" s="353"/>
    </row>
    <row r="290" spans="1:226" s="354" customFormat="1" ht="15" customHeight="1">
      <c r="A290" s="1557"/>
      <c r="B290" s="1560"/>
      <c r="C290" s="1563"/>
      <c r="D290" s="1566"/>
      <c r="E290" s="358" t="s">
        <v>393</v>
      </c>
      <c r="F290" s="359">
        <f t="shared" si="25"/>
        <v>9154</v>
      </c>
      <c r="G290" s="359"/>
      <c r="H290" s="359">
        <v>9154</v>
      </c>
      <c r="I290" s="359"/>
      <c r="J290" s="360"/>
      <c r="K290" s="353"/>
    </row>
    <row r="291" spans="1:226" s="354" customFormat="1" ht="15" customHeight="1">
      <c r="A291" s="1557"/>
      <c r="B291" s="1560"/>
      <c r="C291" s="1563"/>
      <c r="D291" s="1566"/>
      <c r="E291" s="358" t="s">
        <v>335</v>
      </c>
      <c r="F291" s="359">
        <f t="shared" si="25"/>
        <v>1615</v>
      </c>
      <c r="G291" s="359">
        <v>539</v>
      </c>
      <c r="H291" s="359"/>
      <c r="I291" s="359">
        <v>1076</v>
      </c>
      <c r="J291" s="360"/>
      <c r="K291" s="353"/>
    </row>
    <row r="292" spans="1:226" s="354" customFormat="1" ht="15" customHeight="1">
      <c r="A292" s="1557"/>
      <c r="B292" s="1560"/>
      <c r="C292" s="1563"/>
      <c r="D292" s="1566"/>
      <c r="E292" s="358" t="s">
        <v>394</v>
      </c>
      <c r="F292" s="359">
        <f>SUM(G292:J292)</f>
        <v>1290</v>
      </c>
      <c r="G292" s="359"/>
      <c r="H292" s="359">
        <v>1290</v>
      </c>
      <c r="I292" s="359"/>
      <c r="J292" s="360"/>
      <c r="K292" s="353"/>
    </row>
    <row r="293" spans="1:226" s="354" customFormat="1" ht="15" customHeight="1">
      <c r="A293" s="1557"/>
      <c r="B293" s="1560"/>
      <c r="C293" s="1563"/>
      <c r="D293" s="1566"/>
      <c r="E293" s="358" t="s">
        <v>367</v>
      </c>
      <c r="F293" s="359">
        <f>SUM(G293:J293)</f>
        <v>228</v>
      </c>
      <c r="G293" s="359">
        <v>76</v>
      </c>
      <c r="H293" s="359"/>
      <c r="I293" s="359">
        <v>152</v>
      </c>
      <c r="J293" s="360"/>
      <c r="K293" s="353"/>
    </row>
    <row r="294" spans="1:226" s="354" customFormat="1" ht="24.95" customHeight="1">
      <c r="A294" s="1557"/>
      <c r="B294" s="1560"/>
      <c r="C294" s="1563"/>
      <c r="D294" s="1566"/>
      <c r="E294" s="393" t="s">
        <v>338</v>
      </c>
      <c r="F294" s="394">
        <f>SUM(F295:F304)</f>
        <v>1108250</v>
      </c>
      <c r="G294" s="394">
        <f>SUM(G295:G304)</f>
        <v>55412</v>
      </c>
      <c r="H294" s="394">
        <f>SUM(H295:H304)</f>
        <v>942012</v>
      </c>
      <c r="I294" s="394">
        <f>SUM(I295:I304)</f>
        <v>110826</v>
      </c>
      <c r="J294" s="395">
        <f>SUM(J295:J304)</f>
        <v>0</v>
      </c>
      <c r="K294" s="353"/>
      <c r="L294" s="353"/>
      <c r="M294" s="353"/>
      <c r="N294" s="353"/>
      <c r="O294" s="353"/>
      <c r="P294" s="353"/>
      <c r="Q294" s="353"/>
      <c r="R294" s="353"/>
      <c r="S294" s="353"/>
      <c r="T294" s="353"/>
      <c r="U294" s="353"/>
      <c r="V294" s="353"/>
      <c r="W294" s="353"/>
      <c r="X294" s="353"/>
      <c r="Y294" s="353"/>
      <c r="Z294" s="353"/>
      <c r="AA294" s="353"/>
      <c r="AB294" s="353"/>
      <c r="AC294" s="353"/>
      <c r="AD294" s="353"/>
      <c r="AE294" s="353"/>
      <c r="AF294" s="353"/>
      <c r="AG294" s="353"/>
      <c r="AH294" s="353"/>
      <c r="AI294" s="353"/>
      <c r="AJ294" s="353"/>
      <c r="AK294" s="353"/>
      <c r="AL294" s="353"/>
      <c r="AM294" s="353"/>
      <c r="AN294" s="353"/>
      <c r="AO294" s="353"/>
      <c r="AP294" s="353"/>
      <c r="AQ294" s="353"/>
      <c r="AR294" s="353"/>
      <c r="AS294" s="353"/>
      <c r="AT294" s="353"/>
      <c r="AU294" s="353"/>
      <c r="AV294" s="353"/>
      <c r="AW294" s="353"/>
      <c r="AX294" s="353"/>
      <c r="AY294" s="353"/>
      <c r="AZ294" s="353"/>
      <c r="BA294" s="353"/>
      <c r="BB294" s="353"/>
      <c r="BC294" s="353"/>
      <c r="BD294" s="353"/>
      <c r="BE294" s="353"/>
      <c r="BF294" s="353"/>
      <c r="BG294" s="353"/>
      <c r="BH294" s="353"/>
      <c r="BI294" s="353"/>
      <c r="BJ294" s="353"/>
      <c r="BK294" s="353"/>
      <c r="BL294" s="353"/>
      <c r="BM294" s="353"/>
      <c r="BN294" s="353"/>
      <c r="BO294" s="353"/>
      <c r="BP294" s="353"/>
      <c r="BQ294" s="353"/>
      <c r="BR294" s="353"/>
      <c r="BS294" s="353"/>
      <c r="BT294" s="353"/>
      <c r="BU294" s="353"/>
      <c r="BV294" s="353"/>
      <c r="BW294" s="353"/>
      <c r="BX294" s="353"/>
      <c r="BY294" s="353"/>
      <c r="BZ294" s="353"/>
      <c r="CA294" s="353"/>
      <c r="CB294" s="353"/>
      <c r="CC294" s="353"/>
      <c r="CD294" s="353"/>
      <c r="CE294" s="353"/>
      <c r="CF294" s="353"/>
      <c r="CG294" s="353"/>
      <c r="CH294" s="353"/>
      <c r="CI294" s="353"/>
      <c r="CJ294" s="353"/>
      <c r="CK294" s="353"/>
      <c r="CL294" s="353"/>
      <c r="CM294" s="353"/>
      <c r="CN294" s="353"/>
      <c r="CO294" s="353"/>
      <c r="CP294" s="353"/>
      <c r="CQ294" s="353"/>
      <c r="CR294" s="353"/>
      <c r="CS294" s="353"/>
      <c r="CT294" s="353"/>
      <c r="CU294" s="353"/>
      <c r="CV294" s="353"/>
      <c r="CW294" s="353"/>
      <c r="CX294" s="353"/>
      <c r="CY294" s="353"/>
      <c r="CZ294" s="353"/>
      <c r="DA294" s="353"/>
      <c r="DB294" s="353"/>
      <c r="DC294" s="353"/>
      <c r="DD294" s="353"/>
      <c r="DE294" s="353"/>
      <c r="DF294" s="353"/>
      <c r="DG294" s="353"/>
      <c r="DH294" s="353"/>
      <c r="DI294" s="353"/>
      <c r="DJ294" s="353"/>
      <c r="DK294" s="353"/>
      <c r="DL294" s="353"/>
      <c r="DM294" s="353"/>
      <c r="DN294" s="353"/>
      <c r="DO294" s="353"/>
      <c r="DP294" s="353"/>
      <c r="DQ294" s="353"/>
      <c r="DR294" s="353"/>
      <c r="DS294" s="353"/>
      <c r="DT294" s="353"/>
      <c r="DU294" s="353"/>
      <c r="DV294" s="353"/>
      <c r="DW294" s="353"/>
      <c r="DX294" s="353"/>
      <c r="DY294" s="353"/>
      <c r="DZ294" s="353"/>
      <c r="EA294" s="353"/>
      <c r="EB294" s="353"/>
      <c r="EC294" s="353"/>
      <c r="ED294" s="353"/>
      <c r="EE294" s="353"/>
      <c r="EF294" s="353"/>
      <c r="EG294" s="353"/>
      <c r="EH294" s="353"/>
      <c r="EI294" s="353"/>
      <c r="EJ294" s="353"/>
      <c r="EK294" s="353"/>
      <c r="EL294" s="353"/>
      <c r="EM294" s="353"/>
      <c r="EN294" s="353"/>
      <c r="EO294" s="353"/>
      <c r="EP294" s="353"/>
      <c r="EQ294" s="353"/>
      <c r="ER294" s="353"/>
      <c r="ES294" s="353"/>
      <c r="ET294" s="353"/>
      <c r="EU294" s="353"/>
      <c r="EV294" s="353"/>
      <c r="EW294" s="353"/>
      <c r="EX294" s="353"/>
      <c r="EY294" s="353"/>
      <c r="EZ294" s="353"/>
      <c r="FA294" s="353"/>
      <c r="FB294" s="353"/>
      <c r="FC294" s="353"/>
      <c r="FD294" s="353"/>
      <c r="FE294" s="353"/>
      <c r="FF294" s="353"/>
      <c r="FG294" s="353"/>
      <c r="FH294" s="353"/>
      <c r="FI294" s="353"/>
      <c r="FJ294" s="353"/>
      <c r="FK294" s="353"/>
      <c r="FL294" s="353"/>
      <c r="FM294" s="353"/>
      <c r="FN294" s="353"/>
      <c r="FO294" s="353"/>
      <c r="FP294" s="353"/>
      <c r="FQ294" s="353"/>
      <c r="FR294" s="353"/>
      <c r="FS294" s="353"/>
      <c r="FT294" s="353"/>
      <c r="FU294" s="353"/>
      <c r="FV294" s="353"/>
      <c r="FW294" s="353"/>
      <c r="FX294" s="353"/>
      <c r="FY294" s="353"/>
      <c r="FZ294" s="353"/>
      <c r="GA294" s="353"/>
      <c r="GB294" s="353"/>
      <c r="GC294" s="353"/>
      <c r="GD294" s="353"/>
      <c r="GE294" s="353"/>
      <c r="GF294" s="353"/>
      <c r="GG294" s="353"/>
      <c r="GH294" s="353"/>
      <c r="GI294" s="353"/>
      <c r="GJ294" s="353"/>
      <c r="GK294" s="353"/>
      <c r="GL294" s="353"/>
      <c r="GM294" s="353"/>
      <c r="GN294" s="353"/>
      <c r="GO294" s="353"/>
      <c r="GP294" s="353"/>
      <c r="GQ294" s="353"/>
      <c r="GR294" s="353"/>
      <c r="GS294" s="353"/>
      <c r="GT294" s="353"/>
      <c r="GU294" s="353"/>
      <c r="GV294" s="353"/>
      <c r="GW294" s="353"/>
      <c r="GX294" s="353"/>
      <c r="GY294" s="353"/>
      <c r="GZ294" s="353"/>
      <c r="HA294" s="353"/>
      <c r="HB294" s="353"/>
      <c r="HC294" s="353"/>
      <c r="HD294" s="353"/>
      <c r="HE294" s="353"/>
      <c r="HF294" s="353"/>
      <c r="HG294" s="353"/>
      <c r="HH294" s="353"/>
      <c r="HI294" s="353"/>
      <c r="HJ294" s="353"/>
      <c r="HK294" s="353"/>
      <c r="HL294" s="353"/>
      <c r="HM294" s="353"/>
      <c r="HN294" s="353"/>
      <c r="HO294" s="353"/>
      <c r="HP294" s="353"/>
      <c r="HQ294" s="353"/>
      <c r="HR294" s="353"/>
    </row>
    <row r="295" spans="1:226" s="354" customFormat="1" ht="15" customHeight="1">
      <c r="A295" s="1557"/>
      <c r="B295" s="1560"/>
      <c r="C295" s="1563"/>
      <c r="D295" s="1566"/>
      <c r="E295" s="358" t="s">
        <v>429</v>
      </c>
      <c r="F295" s="359">
        <f>SUM(G295:J295)</f>
        <v>935000</v>
      </c>
      <c r="G295" s="359"/>
      <c r="H295" s="359">
        <v>935000</v>
      </c>
      <c r="I295" s="359"/>
      <c r="J295" s="360"/>
      <c r="K295" s="353"/>
    </row>
    <row r="296" spans="1:226" s="354" customFormat="1" ht="15" customHeight="1">
      <c r="A296" s="1557"/>
      <c r="B296" s="1560"/>
      <c r="C296" s="1563"/>
      <c r="D296" s="1566"/>
      <c r="E296" s="358" t="s">
        <v>430</v>
      </c>
      <c r="F296" s="359">
        <f t="shared" ref="F296:F303" si="26">SUM(G296:J296)</f>
        <v>165000</v>
      </c>
      <c r="G296" s="359">
        <v>55000</v>
      </c>
      <c r="H296" s="359"/>
      <c r="I296" s="359">
        <v>110000</v>
      </c>
      <c r="J296" s="360"/>
      <c r="K296" s="353"/>
    </row>
    <row r="297" spans="1:226" s="354" customFormat="1" ht="15" customHeight="1">
      <c r="A297" s="1557"/>
      <c r="B297" s="1560"/>
      <c r="C297" s="1563"/>
      <c r="D297" s="1566"/>
      <c r="E297" s="358" t="s">
        <v>396</v>
      </c>
      <c r="F297" s="359">
        <f t="shared" si="26"/>
        <v>4208</v>
      </c>
      <c r="G297" s="359"/>
      <c r="H297" s="359">
        <v>4208</v>
      </c>
      <c r="I297" s="359"/>
      <c r="J297" s="360"/>
      <c r="K297" s="353"/>
    </row>
    <row r="298" spans="1:226" s="354" customFormat="1" ht="15" customHeight="1">
      <c r="A298" s="1557"/>
      <c r="B298" s="1560"/>
      <c r="C298" s="1563"/>
      <c r="D298" s="1566"/>
      <c r="E298" s="358" t="s">
        <v>340</v>
      </c>
      <c r="F298" s="359">
        <f t="shared" si="26"/>
        <v>742</v>
      </c>
      <c r="G298" s="359">
        <v>247</v>
      </c>
      <c r="H298" s="359"/>
      <c r="I298" s="359">
        <v>495</v>
      </c>
      <c r="J298" s="360"/>
      <c r="K298" s="353"/>
    </row>
    <row r="299" spans="1:226" s="354" customFormat="1" ht="15" customHeight="1">
      <c r="A299" s="1557"/>
      <c r="B299" s="1560"/>
      <c r="C299" s="1563"/>
      <c r="D299" s="1566"/>
      <c r="E299" s="358" t="s">
        <v>431</v>
      </c>
      <c r="F299" s="359">
        <f t="shared" si="26"/>
        <v>1402</v>
      </c>
      <c r="G299" s="359"/>
      <c r="H299" s="359">
        <v>1402</v>
      </c>
      <c r="I299" s="359"/>
      <c r="J299" s="360"/>
      <c r="K299" s="353"/>
    </row>
    <row r="300" spans="1:226" s="354" customFormat="1" ht="15" customHeight="1">
      <c r="A300" s="1557"/>
      <c r="B300" s="1560"/>
      <c r="C300" s="1563"/>
      <c r="D300" s="1566"/>
      <c r="E300" s="358" t="s">
        <v>373</v>
      </c>
      <c r="F300" s="359">
        <f t="shared" si="26"/>
        <v>248</v>
      </c>
      <c r="G300" s="359">
        <v>83</v>
      </c>
      <c r="H300" s="359"/>
      <c r="I300" s="359">
        <v>165</v>
      </c>
      <c r="J300" s="360"/>
      <c r="K300" s="353"/>
    </row>
    <row r="301" spans="1:226" s="354" customFormat="1" ht="15" customHeight="1">
      <c r="A301" s="1557"/>
      <c r="B301" s="1560"/>
      <c r="C301" s="1563"/>
      <c r="D301" s="1566"/>
      <c r="E301" s="358" t="s">
        <v>397</v>
      </c>
      <c r="F301" s="359">
        <f t="shared" si="26"/>
        <v>701</v>
      </c>
      <c r="G301" s="359"/>
      <c r="H301" s="359">
        <v>701</v>
      </c>
      <c r="I301" s="359"/>
      <c r="J301" s="360"/>
      <c r="K301" s="353"/>
    </row>
    <row r="302" spans="1:226" s="354" customFormat="1" ht="15" customHeight="1">
      <c r="A302" s="1557"/>
      <c r="B302" s="1560"/>
      <c r="C302" s="1563"/>
      <c r="D302" s="1566"/>
      <c r="E302" s="358" t="s">
        <v>342</v>
      </c>
      <c r="F302" s="359">
        <f t="shared" si="26"/>
        <v>124</v>
      </c>
      <c r="G302" s="359">
        <v>41</v>
      </c>
      <c r="H302" s="359"/>
      <c r="I302" s="359">
        <v>83</v>
      </c>
      <c r="J302" s="360"/>
      <c r="K302" s="353"/>
    </row>
    <row r="303" spans="1:226" s="354" customFormat="1" ht="15" customHeight="1">
      <c r="A303" s="1557"/>
      <c r="B303" s="1560"/>
      <c r="C303" s="1563"/>
      <c r="D303" s="1566"/>
      <c r="E303" s="358" t="s">
        <v>432</v>
      </c>
      <c r="F303" s="359">
        <f t="shared" si="26"/>
        <v>701</v>
      </c>
      <c r="G303" s="359"/>
      <c r="H303" s="359">
        <v>701</v>
      </c>
      <c r="I303" s="359"/>
      <c r="J303" s="360"/>
      <c r="K303" s="353"/>
    </row>
    <row r="304" spans="1:226" s="354" customFormat="1" ht="15" customHeight="1">
      <c r="A304" s="1557"/>
      <c r="B304" s="1560"/>
      <c r="C304" s="1563"/>
      <c r="D304" s="1566"/>
      <c r="E304" s="358" t="s">
        <v>433</v>
      </c>
      <c r="F304" s="359">
        <f>SUM(G304:J304)</f>
        <v>124</v>
      </c>
      <c r="G304" s="359">
        <v>41</v>
      </c>
      <c r="H304" s="359"/>
      <c r="I304" s="359">
        <v>83</v>
      </c>
      <c r="J304" s="360"/>
      <c r="K304" s="353"/>
    </row>
    <row r="305" spans="1:226" s="354" customFormat="1" ht="17.25" customHeight="1">
      <c r="A305" s="1558"/>
      <c r="B305" s="1561"/>
      <c r="C305" s="1564"/>
      <c r="D305" s="1567"/>
      <c r="E305" s="361" t="s">
        <v>318</v>
      </c>
      <c r="F305" s="356">
        <f>SUM(F306:F307)</f>
        <v>0</v>
      </c>
      <c r="G305" s="356">
        <f>SUM(G306:G307)</f>
        <v>0</v>
      </c>
      <c r="H305" s="356">
        <f>SUM(H306:H307)</f>
        <v>0</v>
      </c>
      <c r="I305" s="356">
        <f>SUM(I306:I307)</f>
        <v>0</v>
      </c>
      <c r="J305" s="357">
        <f>SUM(J306:J307)</f>
        <v>0</v>
      </c>
      <c r="K305" s="353"/>
    </row>
    <row r="306" spans="1:226" s="354" customFormat="1" ht="15" hidden="1" customHeight="1">
      <c r="A306" s="406"/>
      <c r="B306" s="407"/>
      <c r="C306" s="408"/>
      <c r="D306" s="409"/>
      <c r="E306" s="401"/>
      <c r="F306" s="402">
        <f>SUM(G306:J306)</f>
        <v>0</v>
      </c>
      <c r="G306" s="402"/>
      <c r="H306" s="402"/>
      <c r="I306" s="402"/>
      <c r="J306" s="403"/>
      <c r="K306" s="353"/>
    </row>
    <row r="307" spans="1:226" s="354" customFormat="1" ht="15" hidden="1" customHeight="1">
      <c r="A307" s="397"/>
      <c r="B307" s="398"/>
      <c r="C307" s="399"/>
      <c r="D307" s="400"/>
      <c r="E307" s="396"/>
      <c r="F307" s="359">
        <f>SUM(G307:J307)</f>
        <v>0</v>
      </c>
      <c r="G307" s="359"/>
      <c r="H307" s="359"/>
      <c r="I307" s="359"/>
      <c r="J307" s="360"/>
      <c r="K307" s="353"/>
    </row>
    <row r="308" spans="1:226" s="354" customFormat="1" ht="22.5" customHeight="1">
      <c r="A308" s="1556" t="s">
        <v>434</v>
      </c>
      <c r="B308" s="1559" t="s">
        <v>435</v>
      </c>
      <c r="C308" s="1562">
        <v>854</v>
      </c>
      <c r="D308" s="1565" t="s">
        <v>428</v>
      </c>
      <c r="E308" s="350" t="s">
        <v>315</v>
      </c>
      <c r="F308" s="351">
        <f>SUM(F309,F328)</f>
        <v>770000</v>
      </c>
      <c r="G308" s="351">
        <f>SUM(G309,G328)</f>
        <v>77000</v>
      </c>
      <c r="H308" s="351">
        <f>SUM(H309,H328)</f>
        <v>654500</v>
      </c>
      <c r="I308" s="351">
        <f>SUM(I309,I328)</f>
        <v>38500</v>
      </c>
      <c r="J308" s="352">
        <f>SUM(J309,J328)</f>
        <v>0</v>
      </c>
      <c r="K308" s="353"/>
    </row>
    <row r="309" spans="1:226" s="354" customFormat="1" ht="21">
      <c r="A309" s="1557"/>
      <c r="B309" s="1560"/>
      <c r="C309" s="1563"/>
      <c r="D309" s="1566"/>
      <c r="E309" s="355" t="s">
        <v>332</v>
      </c>
      <c r="F309" s="356">
        <f>SUM(F310,F317)</f>
        <v>770000</v>
      </c>
      <c r="G309" s="356">
        <f>SUM(G310,G317)</f>
        <v>77000</v>
      </c>
      <c r="H309" s="356">
        <f>SUM(H310,H317)</f>
        <v>654500</v>
      </c>
      <c r="I309" s="356">
        <f>SUM(I310,I317)</f>
        <v>38500</v>
      </c>
      <c r="J309" s="357">
        <f>SUM(J310,J317)</f>
        <v>0</v>
      </c>
      <c r="K309" s="353"/>
    </row>
    <row r="310" spans="1:226" s="354" customFormat="1" ht="24.95" customHeight="1">
      <c r="A310" s="1557"/>
      <c r="B310" s="1560"/>
      <c r="C310" s="1563"/>
      <c r="D310" s="1566"/>
      <c r="E310" s="393" t="s">
        <v>333</v>
      </c>
      <c r="F310" s="394">
        <f>SUM(F311:F316)</f>
        <v>63000</v>
      </c>
      <c r="G310" s="394">
        <f>SUM(G311:G316)</f>
        <v>6300</v>
      </c>
      <c r="H310" s="394">
        <f>SUM(H311:H316)</f>
        <v>53550</v>
      </c>
      <c r="I310" s="394">
        <f>SUM(I311:I316)</f>
        <v>3150</v>
      </c>
      <c r="J310" s="395">
        <f>SUM(J311:J316)</f>
        <v>0</v>
      </c>
      <c r="K310" s="353"/>
    </row>
    <row r="311" spans="1:226" s="354" customFormat="1" ht="15" customHeight="1">
      <c r="A311" s="1557"/>
      <c r="B311" s="1560"/>
      <c r="C311" s="1563"/>
      <c r="D311" s="1566"/>
      <c r="E311" s="358" t="s">
        <v>391</v>
      </c>
      <c r="F311" s="359">
        <f>SUM(G311:J311)</f>
        <v>44688</v>
      </c>
      <c r="G311" s="359"/>
      <c r="H311" s="359">
        <v>44688</v>
      </c>
      <c r="I311" s="359"/>
      <c r="J311" s="360"/>
      <c r="K311" s="353"/>
    </row>
    <row r="312" spans="1:226" s="354" customFormat="1" ht="15" customHeight="1">
      <c r="A312" s="1557"/>
      <c r="B312" s="1560"/>
      <c r="C312" s="1563"/>
      <c r="D312" s="1566"/>
      <c r="E312" s="358" t="s">
        <v>363</v>
      </c>
      <c r="F312" s="359">
        <f t="shared" ref="F312:F314" si="27">SUM(G312:J312)</f>
        <v>7886</v>
      </c>
      <c r="G312" s="359">
        <v>5257</v>
      </c>
      <c r="H312" s="359"/>
      <c r="I312" s="359">
        <v>2629</v>
      </c>
      <c r="J312" s="360"/>
      <c r="K312" s="353"/>
    </row>
    <row r="313" spans="1:226" s="354" customFormat="1" ht="15" customHeight="1">
      <c r="A313" s="1557"/>
      <c r="B313" s="1560"/>
      <c r="C313" s="1563"/>
      <c r="D313" s="1566"/>
      <c r="E313" s="358" t="s">
        <v>393</v>
      </c>
      <c r="F313" s="359">
        <f t="shared" si="27"/>
        <v>7767</v>
      </c>
      <c r="G313" s="359"/>
      <c r="H313" s="359">
        <v>7767</v>
      </c>
      <c r="I313" s="359"/>
      <c r="J313" s="360"/>
      <c r="K313" s="353"/>
    </row>
    <row r="314" spans="1:226" s="354" customFormat="1" ht="15" customHeight="1">
      <c r="A314" s="1557"/>
      <c r="B314" s="1560"/>
      <c r="C314" s="1563"/>
      <c r="D314" s="1566"/>
      <c r="E314" s="358" t="s">
        <v>335</v>
      </c>
      <c r="F314" s="359">
        <f t="shared" si="27"/>
        <v>1371</v>
      </c>
      <c r="G314" s="359">
        <v>914</v>
      </c>
      <c r="H314" s="359"/>
      <c r="I314" s="359">
        <v>457</v>
      </c>
      <c r="J314" s="360"/>
      <c r="K314" s="353"/>
    </row>
    <row r="315" spans="1:226" s="354" customFormat="1" ht="15" customHeight="1">
      <c r="A315" s="1557"/>
      <c r="B315" s="1560"/>
      <c r="C315" s="1563"/>
      <c r="D315" s="1566"/>
      <c r="E315" s="358" t="s">
        <v>394</v>
      </c>
      <c r="F315" s="359">
        <f>SUM(G315:J315)</f>
        <v>1095</v>
      </c>
      <c r="G315" s="359"/>
      <c r="H315" s="359">
        <v>1095</v>
      </c>
      <c r="I315" s="359"/>
      <c r="J315" s="360"/>
      <c r="K315" s="353"/>
    </row>
    <row r="316" spans="1:226" s="354" customFormat="1" ht="15" customHeight="1">
      <c r="A316" s="1557"/>
      <c r="B316" s="1560"/>
      <c r="C316" s="1563"/>
      <c r="D316" s="1566"/>
      <c r="E316" s="358" t="s">
        <v>367</v>
      </c>
      <c r="F316" s="359">
        <f>SUM(G316:J316)</f>
        <v>193</v>
      </c>
      <c r="G316" s="359">
        <v>129</v>
      </c>
      <c r="H316" s="359"/>
      <c r="I316" s="359">
        <v>64</v>
      </c>
      <c r="J316" s="360"/>
      <c r="K316" s="353"/>
    </row>
    <row r="317" spans="1:226" s="354" customFormat="1" ht="24.95" customHeight="1">
      <c r="A317" s="1557"/>
      <c r="B317" s="1560"/>
      <c r="C317" s="1563"/>
      <c r="D317" s="1566"/>
      <c r="E317" s="393" t="s">
        <v>338</v>
      </c>
      <c r="F317" s="394">
        <f>SUM(F318:F327)</f>
        <v>707000</v>
      </c>
      <c r="G317" s="394">
        <f>SUM(G318:G327)</f>
        <v>70700</v>
      </c>
      <c r="H317" s="394">
        <f>SUM(H318:H327)</f>
        <v>600950</v>
      </c>
      <c r="I317" s="394">
        <f>SUM(I318:I327)</f>
        <v>35350</v>
      </c>
      <c r="J317" s="395">
        <f>SUM(J318:J327)</f>
        <v>0</v>
      </c>
      <c r="K317" s="353"/>
      <c r="L317" s="353"/>
      <c r="M317" s="353"/>
      <c r="N317" s="353"/>
      <c r="O317" s="353"/>
      <c r="P317" s="353"/>
      <c r="Q317" s="353"/>
      <c r="R317" s="353"/>
      <c r="S317" s="353"/>
      <c r="T317" s="353"/>
      <c r="U317" s="353"/>
      <c r="V317" s="353"/>
      <c r="W317" s="353"/>
      <c r="X317" s="353"/>
      <c r="Y317" s="353"/>
      <c r="Z317" s="353"/>
      <c r="AA317" s="353"/>
      <c r="AB317" s="353"/>
      <c r="AC317" s="353"/>
      <c r="AD317" s="353"/>
      <c r="AE317" s="353"/>
      <c r="AF317" s="353"/>
      <c r="AG317" s="353"/>
      <c r="AH317" s="353"/>
      <c r="AI317" s="353"/>
      <c r="AJ317" s="353"/>
      <c r="AK317" s="353"/>
      <c r="AL317" s="353"/>
      <c r="AM317" s="353"/>
      <c r="AN317" s="353"/>
      <c r="AO317" s="353"/>
      <c r="AP317" s="353"/>
      <c r="AQ317" s="353"/>
      <c r="AR317" s="353"/>
      <c r="AS317" s="353"/>
      <c r="AT317" s="353"/>
      <c r="AU317" s="353"/>
      <c r="AV317" s="353"/>
      <c r="AW317" s="353"/>
      <c r="AX317" s="353"/>
      <c r="AY317" s="353"/>
      <c r="AZ317" s="353"/>
      <c r="BA317" s="353"/>
      <c r="BB317" s="353"/>
      <c r="BC317" s="353"/>
      <c r="BD317" s="353"/>
      <c r="BE317" s="353"/>
      <c r="BF317" s="353"/>
      <c r="BG317" s="353"/>
      <c r="BH317" s="353"/>
      <c r="BI317" s="353"/>
      <c r="BJ317" s="353"/>
      <c r="BK317" s="353"/>
      <c r="BL317" s="353"/>
      <c r="BM317" s="353"/>
      <c r="BN317" s="353"/>
      <c r="BO317" s="353"/>
      <c r="BP317" s="353"/>
      <c r="BQ317" s="353"/>
      <c r="BR317" s="353"/>
      <c r="BS317" s="353"/>
      <c r="BT317" s="353"/>
      <c r="BU317" s="353"/>
      <c r="BV317" s="353"/>
      <c r="BW317" s="353"/>
      <c r="BX317" s="353"/>
      <c r="BY317" s="353"/>
      <c r="BZ317" s="353"/>
      <c r="CA317" s="353"/>
      <c r="CB317" s="353"/>
      <c r="CC317" s="353"/>
      <c r="CD317" s="353"/>
      <c r="CE317" s="353"/>
      <c r="CF317" s="353"/>
      <c r="CG317" s="353"/>
      <c r="CH317" s="353"/>
      <c r="CI317" s="353"/>
      <c r="CJ317" s="353"/>
      <c r="CK317" s="353"/>
      <c r="CL317" s="353"/>
      <c r="CM317" s="353"/>
      <c r="CN317" s="353"/>
      <c r="CO317" s="353"/>
      <c r="CP317" s="353"/>
      <c r="CQ317" s="353"/>
      <c r="CR317" s="353"/>
      <c r="CS317" s="353"/>
      <c r="CT317" s="353"/>
      <c r="CU317" s="353"/>
      <c r="CV317" s="353"/>
      <c r="CW317" s="353"/>
      <c r="CX317" s="353"/>
      <c r="CY317" s="353"/>
      <c r="CZ317" s="353"/>
      <c r="DA317" s="353"/>
      <c r="DB317" s="353"/>
      <c r="DC317" s="353"/>
      <c r="DD317" s="353"/>
      <c r="DE317" s="353"/>
      <c r="DF317" s="353"/>
      <c r="DG317" s="353"/>
      <c r="DH317" s="353"/>
      <c r="DI317" s="353"/>
      <c r="DJ317" s="353"/>
      <c r="DK317" s="353"/>
      <c r="DL317" s="353"/>
      <c r="DM317" s="353"/>
      <c r="DN317" s="353"/>
      <c r="DO317" s="353"/>
      <c r="DP317" s="353"/>
      <c r="DQ317" s="353"/>
      <c r="DR317" s="353"/>
      <c r="DS317" s="353"/>
      <c r="DT317" s="353"/>
      <c r="DU317" s="353"/>
      <c r="DV317" s="353"/>
      <c r="DW317" s="353"/>
      <c r="DX317" s="353"/>
      <c r="DY317" s="353"/>
      <c r="DZ317" s="353"/>
      <c r="EA317" s="353"/>
      <c r="EB317" s="353"/>
      <c r="EC317" s="353"/>
      <c r="ED317" s="353"/>
      <c r="EE317" s="353"/>
      <c r="EF317" s="353"/>
      <c r="EG317" s="353"/>
      <c r="EH317" s="353"/>
      <c r="EI317" s="353"/>
      <c r="EJ317" s="353"/>
      <c r="EK317" s="353"/>
      <c r="EL317" s="353"/>
      <c r="EM317" s="353"/>
      <c r="EN317" s="353"/>
      <c r="EO317" s="353"/>
      <c r="EP317" s="353"/>
      <c r="EQ317" s="353"/>
      <c r="ER317" s="353"/>
      <c r="ES317" s="353"/>
      <c r="ET317" s="353"/>
      <c r="EU317" s="353"/>
      <c r="EV317" s="353"/>
      <c r="EW317" s="353"/>
      <c r="EX317" s="353"/>
      <c r="EY317" s="353"/>
      <c r="EZ317" s="353"/>
      <c r="FA317" s="353"/>
      <c r="FB317" s="353"/>
      <c r="FC317" s="353"/>
      <c r="FD317" s="353"/>
      <c r="FE317" s="353"/>
      <c r="FF317" s="353"/>
      <c r="FG317" s="353"/>
      <c r="FH317" s="353"/>
      <c r="FI317" s="353"/>
      <c r="FJ317" s="353"/>
      <c r="FK317" s="353"/>
      <c r="FL317" s="353"/>
      <c r="FM317" s="353"/>
      <c r="FN317" s="353"/>
      <c r="FO317" s="353"/>
      <c r="FP317" s="353"/>
      <c r="FQ317" s="353"/>
      <c r="FR317" s="353"/>
      <c r="FS317" s="353"/>
      <c r="FT317" s="353"/>
      <c r="FU317" s="353"/>
      <c r="FV317" s="353"/>
      <c r="FW317" s="353"/>
      <c r="FX317" s="353"/>
      <c r="FY317" s="353"/>
      <c r="FZ317" s="353"/>
      <c r="GA317" s="353"/>
      <c r="GB317" s="353"/>
      <c r="GC317" s="353"/>
      <c r="GD317" s="353"/>
      <c r="GE317" s="353"/>
      <c r="GF317" s="353"/>
      <c r="GG317" s="353"/>
      <c r="GH317" s="353"/>
      <c r="GI317" s="353"/>
      <c r="GJ317" s="353"/>
      <c r="GK317" s="353"/>
      <c r="GL317" s="353"/>
      <c r="GM317" s="353"/>
      <c r="GN317" s="353"/>
      <c r="GO317" s="353"/>
      <c r="GP317" s="353"/>
      <c r="GQ317" s="353"/>
      <c r="GR317" s="353"/>
      <c r="GS317" s="353"/>
      <c r="GT317" s="353"/>
      <c r="GU317" s="353"/>
      <c r="GV317" s="353"/>
      <c r="GW317" s="353"/>
      <c r="GX317" s="353"/>
      <c r="GY317" s="353"/>
      <c r="GZ317" s="353"/>
      <c r="HA317" s="353"/>
      <c r="HB317" s="353"/>
      <c r="HC317" s="353"/>
      <c r="HD317" s="353"/>
      <c r="HE317" s="353"/>
      <c r="HF317" s="353"/>
      <c r="HG317" s="353"/>
      <c r="HH317" s="353"/>
      <c r="HI317" s="353"/>
      <c r="HJ317" s="353"/>
      <c r="HK317" s="353"/>
      <c r="HL317" s="353"/>
      <c r="HM317" s="353"/>
      <c r="HN317" s="353"/>
      <c r="HO317" s="353"/>
      <c r="HP317" s="353"/>
      <c r="HQ317" s="353"/>
      <c r="HR317" s="353"/>
    </row>
    <row r="318" spans="1:226" s="354" customFormat="1" ht="15" customHeight="1">
      <c r="A318" s="1557"/>
      <c r="B318" s="1560"/>
      <c r="C318" s="1563"/>
      <c r="D318" s="1566"/>
      <c r="E318" s="358" t="s">
        <v>429</v>
      </c>
      <c r="F318" s="359">
        <f>SUM(G318:J318)</f>
        <v>595000</v>
      </c>
      <c r="G318" s="359"/>
      <c r="H318" s="359">
        <v>595000</v>
      </c>
      <c r="I318" s="359"/>
      <c r="J318" s="360"/>
      <c r="K318" s="353"/>
    </row>
    <row r="319" spans="1:226" s="354" customFormat="1" ht="15" customHeight="1">
      <c r="A319" s="1557"/>
      <c r="B319" s="1560"/>
      <c r="C319" s="1563"/>
      <c r="D319" s="1566"/>
      <c r="E319" s="358" t="s">
        <v>430</v>
      </c>
      <c r="F319" s="359">
        <f t="shared" ref="F319:F326" si="28">SUM(G319:J319)</f>
        <v>105000</v>
      </c>
      <c r="G319" s="359">
        <v>70000</v>
      </c>
      <c r="H319" s="359"/>
      <c r="I319" s="359">
        <v>35000</v>
      </c>
      <c r="J319" s="360"/>
      <c r="K319" s="353"/>
    </row>
    <row r="320" spans="1:226" s="354" customFormat="1" ht="15" customHeight="1">
      <c r="A320" s="1557"/>
      <c r="B320" s="1560"/>
      <c r="C320" s="1563"/>
      <c r="D320" s="1566"/>
      <c r="E320" s="358" t="s">
        <v>396</v>
      </c>
      <c r="F320" s="359">
        <f t="shared" si="28"/>
        <v>3570</v>
      </c>
      <c r="G320" s="359"/>
      <c r="H320" s="359">
        <v>3570</v>
      </c>
      <c r="I320" s="359"/>
      <c r="J320" s="360"/>
      <c r="K320" s="353"/>
    </row>
    <row r="321" spans="1:226" s="354" customFormat="1" ht="15" customHeight="1">
      <c r="A321" s="1557"/>
      <c r="B321" s="1560"/>
      <c r="C321" s="1563"/>
      <c r="D321" s="1566"/>
      <c r="E321" s="358" t="s">
        <v>340</v>
      </c>
      <c r="F321" s="359">
        <f t="shared" si="28"/>
        <v>630</v>
      </c>
      <c r="G321" s="359">
        <v>420</v>
      </c>
      <c r="H321" s="359"/>
      <c r="I321" s="359">
        <v>210</v>
      </c>
      <c r="J321" s="360"/>
      <c r="K321" s="353"/>
    </row>
    <row r="322" spans="1:226" s="354" customFormat="1" ht="15" customHeight="1">
      <c r="A322" s="1557"/>
      <c r="B322" s="1560"/>
      <c r="C322" s="1563"/>
      <c r="D322" s="1566"/>
      <c r="E322" s="358" t="s">
        <v>431</v>
      </c>
      <c r="F322" s="359">
        <f t="shared" si="28"/>
        <v>1190</v>
      </c>
      <c r="G322" s="359"/>
      <c r="H322" s="359">
        <v>1190</v>
      </c>
      <c r="I322" s="359"/>
      <c r="J322" s="360"/>
      <c r="K322" s="353"/>
    </row>
    <row r="323" spans="1:226" s="354" customFormat="1" ht="15" customHeight="1">
      <c r="A323" s="1557"/>
      <c r="B323" s="1560"/>
      <c r="C323" s="1563"/>
      <c r="D323" s="1566"/>
      <c r="E323" s="358" t="s">
        <v>373</v>
      </c>
      <c r="F323" s="359">
        <f t="shared" si="28"/>
        <v>210</v>
      </c>
      <c r="G323" s="359">
        <v>140</v>
      </c>
      <c r="H323" s="359"/>
      <c r="I323" s="359">
        <v>70</v>
      </c>
      <c r="J323" s="360"/>
      <c r="K323" s="353"/>
    </row>
    <row r="324" spans="1:226" s="354" customFormat="1" ht="15" customHeight="1">
      <c r="A324" s="1557"/>
      <c r="B324" s="1560"/>
      <c r="C324" s="1563"/>
      <c r="D324" s="1566"/>
      <c r="E324" s="358" t="s">
        <v>397</v>
      </c>
      <c r="F324" s="359">
        <f t="shared" si="28"/>
        <v>595</v>
      </c>
      <c r="G324" s="359"/>
      <c r="H324" s="359">
        <v>595</v>
      </c>
      <c r="I324" s="359"/>
      <c r="J324" s="360"/>
      <c r="K324" s="353"/>
    </row>
    <row r="325" spans="1:226" s="354" customFormat="1" ht="15" customHeight="1">
      <c r="A325" s="1557"/>
      <c r="B325" s="1560"/>
      <c r="C325" s="1563"/>
      <c r="D325" s="1566"/>
      <c r="E325" s="358" t="s">
        <v>342</v>
      </c>
      <c r="F325" s="359">
        <f t="shared" si="28"/>
        <v>105</v>
      </c>
      <c r="G325" s="359">
        <v>70</v>
      </c>
      <c r="H325" s="359"/>
      <c r="I325" s="359">
        <v>35</v>
      </c>
      <c r="J325" s="360"/>
      <c r="K325" s="353"/>
    </row>
    <row r="326" spans="1:226" s="354" customFormat="1" ht="15" customHeight="1">
      <c r="A326" s="1557"/>
      <c r="B326" s="1560"/>
      <c r="C326" s="1563"/>
      <c r="D326" s="1566"/>
      <c r="E326" s="358" t="s">
        <v>432</v>
      </c>
      <c r="F326" s="359">
        <f t="shared" si="28"/>
        <v>595</v>
      </c>
      <c r="G326" s="359"/>
      <c r="H326" s="359">
        <v>595</v>
      </c>
      <c r="I326" s="359"/>
      <c r="J326" s="360"/>
      <c r="K326" s="353"/>
    </row>
    <row r="327" spans="1:226" s="354" customFormat="1" ht="15" customHeight="1">
      <c r="A327" s="1557"/>
      <c r="B327" s="1560"/>
      <c r="C327" s="1563"/>
      <c r="D327" s="1566"/>
      <c r="E327" s="358" t="s">
        <v>433</v>
      </c>
      <c r="F327" s="359">
        <f>SUM(G327:J327)</f>
        <v>105</v>
      </c>
      <c r="G327" s="359">
        <v>70</v>
      </c>
      <c r="H327" s="359"/>
      <c r="I327" s="359">
        <v>35</v>
      </c>
      <c r="J327" s="360"/>
      <c r="K327" s="353"/>
    </row>
    <row r="328" spans="1:226" s="354" customFormat="1" ht="15.75" customHeight="1">
      <c r="A328" s="1558"/>
      <c r="B328" s="1561"/>
      <c r="C328" s="1564"/>
      <c r="D328" s="1567"/>
      <c r="E328" s="361" t="s">
        <v>318</v>
      </c>
      <c r="F328" s="356">
        <f>SUM(F329:F330)</f>
        <v>0</v>
      </c>
      <c r="G328" s="356">
        <f>SUM(G329:G330)</f>
        <v>0</v>
      </c>
      <c r="H328" s="356">
        <f>SUM(H329:H330)</f>
        <v>0</v>
      </c>
      <c r="I328" s="356">
        <f>SUM(I329:I330)</f>
        <v>0</v>
      </c>
      <c r="J328" s="357">
        <f>SUM(J329:J330)</f>
        <v>0</v>
      </c>
      <c r="K328" s="353"/>
    </row>
    <row r="329" spans="1:226" s="354" customFormat="1" ht="15" hidden="1" customHeight="1">
      <c r="A329" s="406"/>
      <c r="B329" s="407"/>
      <c r="C329" s="408"/>
      <c r="D329" s="409"/>
      <c r="E329" s="401"/>
      <c r="F329" s="402">
        <f>SUM(G329:J329)</f>
        <v>0</v>
      </c>
      <c r="G329" s="402"/>
      <c r="H329" s="402"/>
      <c r="I329" s="402"/>
      <c r="J329" s="403"/>
      <c r="K329" s="353"/>
    </row>
    <row r="330" spans="1:226" s="354" customFormat="1" ht="15" hidden="1" customHeight="1">
      <c r="A330" s="397"/>
      <c r="B330" s="398"/>
      <c r="C330" s="399"/>
      <c r="D330" s="400"/>
      <c r="E330" s="396"/>
      <c r="F330" s="359">
        <f t="shared" ref="F330" si="29">SUM(G330:J330)</f>
        <v>0</v>
      </c>
      <c r="G330" s="359"/>
      <c r="H330" s="359"/>
      <c r="I330" s="359"/>
      <c r="J330" s="360"/>
      <c r="K330" s="353"/>
    </row>
    <row r="331" spans="1:226" s="354" customFormat="1" ht="22.5" customHeight="1">
      <c r="A331" s="1556" t="s">
        <v>436</v>
      </c>
      <c r="B331" s="1559" t="s">
        <v>437</v>
      </c>
      <c r="C331" s="1565" t="s">
        <v>122</v>
      </c>
      <c r="D331" s="1565" t="s">
        <v>438</v>
      </c>
      <c r="E331" s="350" t="s">
        <v>315</v>
      </c>
      <c r="F331" s="351">
        <f>SUM(F332,F361)</f>
        <v>5952000</v>
      </c>
      <c r="G331" s="351">
        <f>SUM(G332,G361)</f>
        <v>0</v>
      </c>
      <c r="H331" s="351">
        <f>SUM(H332,H361)</f>
        <v>0</v>
      </c>
      <c r="I331" s="351">
        <f>SUM(I332,I361)</f>
        <v>5952000</v>
      </c>
      <c r="J331" s="352">
        <f>SUM(J332,J361)</f>
        <v>0</v>
      </c>
      <c r="K331" s="353"/>
      <c r="L331" s="353"/>
      <c r="M331" s="353"/>
      <c r="N331" s="353"/>
      <c r="O331" s="353"/>
      <c r="P331" s="353"/>
      <c r="Q331" s="353"/>
      <c r="R331" s="353"/>
      <c r="S331" s="353"/>
      <c r="T331" s="353"/>
      <c r="U331" s="353"/>
      <c r="V331" s="353"/>
      <c r="W331" s="353"/>
      <c r="X331" s="353"/>
      <c r="Y331" s="353"/>
      <c r="Z331" s="353"/>
      <c r="AA331" s="353"/>
      <c r="AB331" s="353"/>
      <c r="AC331" s="353"/>
      <c r="AD331" s="353"/>
      <c r="AE331" s="353"/>
      <c r="AF331" s="353"/>
      <c r="AG331" s="353"/>
      <c r="AH331" s="353"/>
      <c r="AI331" s="353"/>
      <c r="AJ331" s="353"/>
      <c r="AK331" s="353"/>
      <c r="AL331" s="353"/>
      <c r="AM331" s="353"/>
      <c r="AN331" s="353"/>
      <c r="AO331" s="353"/>
      <c r="AP331" s="353"/>
      <c r="AQ331" s="353"/>
      <c r="AR331" s="353"/>
      <c r="AS331" s="353"/>
      <c r="AT331" s="353"/>
      <c r="AU331" s="353"/>
      <c r="AV331" s="353"/>
      <c r="AW331" s="353"/>
      <c r="AX331" s="353"/>
      <c r="AY331" s="353"/>
      <c r="AZ331" s="353"/>
      <c r="BA331" s="353"/>
      <c r="BB331" s="353"/>
      <c r="BC331" s="353"/>
      <c r="BD331" s="353"/>
      <c r="BE331" s="353"/>
      <c r="BF331" s="353"/>
      <c r="BG331" s="353"/>
      <c r="BH331" s="353"/>
      <c r="BI331" s="353"/>
      <c r="BJ331" s="353"/>
      <c r="BK331" s="353"/>
      <c r="BL331" s="353"/>
      <c r="BM331" s="353"/>
      <c r="BN331" s="353"/>
      <c r="BO331" s="353"/>
      <c r="BP331" s="353"/>
      <c r="BQ331" s="353"/>
      <c r="BR331" s="353"/>
      <c r="BS331" s="353"/>
      <c r="BT331" s="353"/>
      <c r="BU331" s="353"/>
      <c r="BV331" s="353"/>
      <c r="BW331" s="353"/>
      <c r="BX331" s="353"/>
      <c r="BY331" s="353"/>
      <c r="BZ331" s="353"/>
      <c r="CA331" s="353"/>
      <c r="CB331" s="353"/>
      <c r="CC331" s="353"/>
      <c r="CD331" s="353"/>
      <c r="CE331" s="353"/>
      <c r="CF331" s="353"/>
      <c r="CG331" s="353"/>
      <c r="CH331" s="353"/>
      <c r="CI331" s="353"/>
      <c r="CJ331" s="353"/>
      <c r="CK331" s="353"/>
      <c r="CL331" s="353"/>
      <c r="CM331" s="353"/>
      <c r="CN331" s="353"/>
      <c r="CO331" s="353"/>
      <c r="CP331" s="353"/>
      <c r="CQ331" s="353"/>
      <c r="CR331" s="353"/>
      <c r="CS331" s="353"/>
      <c r="CT331" s="353"/>
      <c r="CU331" s="353"/>
      <c r="CV331" s="353"/>
      <c r="CW331" s="353"/>
      <c r="CX331" s="353"/>
      <c r="CY331" s="353"/>
      <c r="CZ331" s="353"/>
      <c r="DA331" s="353"/>
      <c r="DB331" s="353"/>
      <c r="DC331" s="353"/>
      <c r="DD331" s="353"/>
      <c r="DE331" s="353"/>
      <c r="DF331" s="353"/>
      <c r="DG331" s="353"/>
      <c r="DH331" s="353"/>
      <c r="DI331" s="353"/>
      <c r="DJ331" s="353"/>
      <c r="DK331" s="353"/>
      <c r="DL331" s="353"/>
      <c r="DM331" s="353"/>
      <c r="DN331" s="353"/>
      <c r="DO331" s="353"/>
      <c r="DP331" s="353"/>
      <c r="DQ331" s="353"/>
      <c r="DR331" s="353"/>
      <c r="DS331" s="353"/>
      <c r="DT331" s="353"/>
      <c r="DU331" s="353"/>
      <c r="DV331" s="353"/>
      <c r="DW331" s="353"/>
      <c r="DX331" s="353"/>
      <c r="DY331" s="353"/>
      <c r="DZ331" s="353"/>
      <c r="EA331" s="353"/>
      <c r="EB331" s="353"/>
      <c r="EC331" s="353"/>
      <c r="ED331" s="353"/>
      <c r="EE331" s="353"/>
      <c r="EF331" s="353"/>
      <c r="EG331" s="353"/>
      <c r="EH331" s="353"/>
      <c r="EI331" s="353"/>
      <c r="EJ331" s="353"/>
      <c r="EK331" s="353"/>
      <c r="EL331" s="353"/>
      <c r="EM331" s="353"/>
      <c r="EN331" s="353"/>
      <c r="EO331" s="353"/>
      <c r="EP331" s="353"/>
      <c r="EQ331" s="353"/>
      <c r="ER331" s="353"/>
      <c r="ES331" s="353"/>
      <c r="ET331" s="353"/>
      <c r="EU331" s="353"/>
      <c r="EV331" s="353"/>
      <c r="EW331" s="353"/>
      <c r="EX331" s="353"/>
      <c r="EY331" s="353"/>
      <c r="EZ331" s="353"/>
      <c r="FA331" s="353"/>
      <c r="FB331" s="353"/>
      <c r="FC331" s="353"/>
      <c r="FD331" s="353"/>
      <c r="FE331" s="353"/>
      <c r="FF331" s="353"/>
      <c r="FG331" s="353"/>
      <c r="FH331" s="353"/>
      <c r="FI331" s="353"/>
      <c r="FJ331" s="353"/>
      <c r="FK331" s="353"/>
      <c r="FL331" s="353"/>
      <c r="FM331" s="353"/>
      <c r="FN331" s="353"/>
      <c r="FO331" s="353"/>
      <c r="FP331" s="353"/>
      <c r="FQ331" s="353"/>
      <c r="FR331" s="353"/>
      <c r="FS331" s="353"/>
      <c r="FT331" s="353"/>
      <c r="FU331" s="353"/>
      <c r="FV331" s="353"/>
      <c r="FW331" s="353"/>
      <c r="FX331" s="353"/>
      <c r="FY331" s="353"/>
      <c r="FZ331" s="353"/>
      <c r="GA331" s="353"/>
      <c r="GB331" s="353"/>
      <c r="GC331" s="353"/>
      <c r="GD331" s="353"/>
      <c r="GE331" s="353"/>
      <c r="GF331" s="353"/>
      <c r="GG331" s="353"/>
      <c r="GH331" s="353"/>
      <c r="GI331" s="353"/>
      <c r="GJ331" s="353"/>
      <c r="GK331" s="353"/>
      <c r="GL331" s="353"/>
      <c r="GM331" s="353"/>
      <c r="GN331" s="353"/>
      <c r="GO331" s="353"/>
      <c r="GP331" s="353"/>
      <c r="GQ331" s="353"/>
      <c r="GR331" s="353"/>
      <c r="GS331" s="353"/>
      <c r="GT331" s="353"/>
      <c r="GU331" s="353"/>
      <c r="GV331" s="353"/>
      <c r="GW331" s="353"/>
      <c r="GX331" s="353"/>
      <c r="GY331" s="353"/>
      <c r="GZ331" s="353"/>
      <c r="HA331" s="353"/>
      <c r="HB331" s="353"/>
      <c r="HC331" s="353"/>
      <c r="HD331" s="353"/>
      <c r="HE331" s="353"/>
      <c r="HF331" s="353"/>
      <c r="HG331" s="353"/>
      <c r="HH331" s="353"/>
      <c r="HI331" s="353"/>
      <c r="HJ331" s="353"/>
      <c r="HK331" s="353"/>
      <c r="HL331" s="353"/>
      <c r="HM331" s="353"/>
      <c r="HN331" s="353"/>
      <c r="HO331" s="353"/>
      <c r="HP331" s="353"/>
      <c r="HQ331" s="353"/>
      <c r="HR331" s="353"/>
    </row>
    <row r="332" spans="1:226" s="354" customFormat="1" ht="21">
      <c r="A332" s="1557"/>
      <c r="B332" s="1560"/>
      <c r="C332" s="1566"/>
      <c r="D332" s="1566"/>
      <c r="E332" s="355" t="s">
        <v>332</v>
      </c>
      <c r="F332" s="356">
        <f>SUM(F333,F344)</f>
        <v>5952000</v>
      </c>
      <c r="G332" s="356">
        <f>SUM(G333,G344)</f>
        <v>0</v>
      </c>
      <c r="H332" s="356">
        <f>SUM(H333,H344)</f>
        <v>0</v>
      </c>
      <c r="I332" s="356">
        <f>SUM(I333,I344)</f>
        <v>5952000</v>
      </c>
      <c r="J332" s="357">
        <f>SUM(J333,J344)</f>
        <v>0</v>
      </c>
      <c r="K332" s="353"/>
    </row>
    <row r="333" spans="1:226" s="354" customFormat="1" ht="22.5">
      <c r="A333" s="1557"/>
      <c r="B333" s="1560"/>
      <c r="C333" s="1566"/>
      <c r="D333" s="1566"/>
      <c r="E333" s="393" t="s">
        <v>333</v>
      </c>
      <c r="F333" s="394">
        <f>SUM(F334:F343)</f>
        <v>3910000</v>
      </c>
      <c r="G333" s="394">
        <f>SUM(G334:G343)</f>
        <v>0</v>
      </c>
      <c r="H333" s="394">
        <f>SUM(H334:H343)</f>
        <v>0</v>
      </c>
      <c r="I333" s="394">
        <f>SUM(I334:I343)</f>
        <v>3910000</v>
      </c>
      <c r="J333" s="395">
        <f>SUM(J334:J343)</f>
        <v>0</v>
      </c>
      <c r="K333" s="353"/>
    </row>
    <row r="334" spans="1:226" s="354" customFormat="1" ht="15" customHeight="1">
      <c r="A334" s="1557"/>
      <c r="B334" s="1560"/>
      <c r="C334" s="1566"/>
      <c r="D334" s="1566"/>
      <c r="E334" s="358" t="s">
        <v>362</v>
      </c>
      <c r="F334" s="359">
        <f t="shared" ref="F334:F343" si="30">SUM(G334:J334)</f>
        <v>1908644</v>
      </c>
      <c r="G334" s="359"/>
      <c r="H334" s="359"/>
      <c r="I334" s="359">
        <v>1908644</v>
      </c>
      <c r="J334" s="360"/>
      <c r="K334" s="353"/>
    </row>
    <row r="335" spans="1:226" s="354" customFormat="1" ht="15" customHeight="1">
      <c r="A335" s="1557"/>
      <c r="B335" s="1560"/>
      <c r="C335" s="1566"/>
      <c r="D335" s="1566"/>
      <c r="E335" s="358" t="s">
        <v>363</v>
      </c>
      <c r="F335" s="359">
        <f t="shared" si="30"/>
        <v>1091356</v>
      </c>
      <c r="G335" s="359"/>
      <c r="H335" s="359"/>
      <c r="I335" s="359">
        <v>1091356</v>
      </c>
      <c r="J335" s="360"/>
      <c r="K335" s="353"/>
    </row>
    <row r="336" spans="1:226" s="354" customFormat="1" ht="15" customHeight="1">
      <c r="A336" s="1557"/>
      <c r="B336" s="1560"/>
      <c r="C336" s="1566"/>
      <c r="D336" s="1566"/>
      <c r="E336" s="358" t="s">
        <v>364</v>
      </c>
      <c r="F336" s="359">
        <f t="shared" si="30"/>
        <v>159075</v>
      </c>
      <c r="G336" s="359"/>
      <c r="H336" s="359"/>
      <c r="I336" s="359">
        <v>159075</v>
      </c>
      <c r="J336" s="360"/>
      <c r="K336" s="353"/>
    </row>
    <row r="337" spans="1:11" s="354" customFormat="1" ht="15" customHeight="1">
      <c r="A337" s="1557"/>
      <c r="B337" s="1560"/>
      <c r="C337" s="1566"/>
      <c r="D337" s="1566"/>
      <c r="E337" s="358" t="s">
        <v>365</v>
      </c>
      <c r="F337" s="359">
        <f t="shared" si="30"/>
        <v>90925</v>
      </c>
      <c r="G337" s="359"/>
      <c r="H337" s="359"/>
      <c r="I337" s="359">
        <v>90925</v>
      </c>
      <c r="J337" s="360"/>
      <c r="K337" s="353"/>
    </row>
    <row r="338" spans="1:11" s="354" customFormat="1" ht="15" customHeight="1">
      <c r="A338" s="1557"/>
      <c r="B338" s="1560"/>
      <c r="C338" s="1566"/>
      <c r="D338" s="1566"/>
      <c r="E338" s="358" t="s">
        <v>334</v>
      </c>
      <c r="F338" s="359">
        <f t="shared" si="30"/>
        <v>356328</v>
      </c>
      <c r="G338" s="359"/>
      <c r="H338" s="359"/>
      <c r="I338" s="359">
        <v>356328</v>
      </c>
      <c r="J338" s="360"/>
      <c r="K338" s="353"/>
    </row>
    <row r="339" spans="1:11" s="354" customFormat="1" ht="15" customHeight="1">
      <c r="A339" s="1557"/>
      <c r="B339" s="1560"/>
      <c r="C339" s="1566"/>
      <c r="D339" s="1566"/>
      <c r="E339" s="358" t="s">
        <v>335</v>
      </c>
      <c r="F339" s="359">
        <f t="shared" si="30"/>
        <v>203672</v>
      </c>
      <c r="G339" s="359"/>
      <c r="H339" s="359"/>
      <c r="I339" s="359">
        <v>203672</v>
      </c>
      <c r="J339" s="360"/>
      <c r="K339" s="353"/>
    </row>
    <row r="340" spans="1:11" s="354" customFormat="1" ht="15" customHeight="1">
      <c r="A340" s="1557"/>
      <c r="B340" s="1560"/>
      <c r="C340" s="1566"/>
      <c r="D340" s="1566"/>
      <c r="E340" s="358" t="s">
        <v>366</v>
      </c>
      <c r="F340" s="359">
        <f t="shared" si="30"/>
        <v>50904</v>
      </c>
      <c r="G340" s="359"/>
      <c r="H340" s="359"/>
      <c r="I340" s="359">
        <v>50904</v>
      </c>
      <c r="J340" s="360"/>
      <c r="K340" s="353"/>
    </row>
    <row r="341" spans="1:11" s="354" customFormat="1" ht="15" customHeight="1">
      <c r="A341" s="1557"/>
      <c r="B341" s="1560"/>
      <c r="C341" s="1566"/>
      <c r="D341" s="1566"/>
      <c r="E341" s="358" t="s">
        <v>367</v>
      </c>
      <c r="F341" s="359">
        <f t="shared" si="30"/>
        <v>29096</v>
      </c>
      <c r="G341" s="359"/>
      <c r="H341" s="359"/>
      <c r="I341" s="359">
        <v>29096</v>
      </c>
      <c r="J341" s="360"/>
      <c r="K341" s="353"/>
    </row>
    <row r="342" spans="1:11" s="354" customFormat="1" ht="15" customHeight="1">
      <c r="A342" s="1557"/>
      <c r="B342" s="1560"/>
      <c r="C342" s="1566"/>
      <c r="D342" s="1566"/>
      <c r="E342" s="358" t="s">
        <v>336</v>
      </c>
      <c r="F342" s="359">
        <f t="shared" si="30"/>
        <v>12726</v>
      </c>
      <c r="G342" s="359"/>
      <c r="H342" s="359"/>
      <c r="I342" s="359">
        <v>12726</v>
      </c>
      <c r="J342" s="360"/>
      <c r="K342" s="353"/>
    </row>
    <row r="343" spans="1:11" s="354" customFormat="1" ht="15" customHeight="1">
      <c r="A343" s="1557"/>
      <c r="B343" s="1560"/>
      <c r="C343" s="1566"/>
      <c r="D343" s="1566"/>
      <c r="E343" s="358" t="s">
        <v>337</v>
      </c>
      <c r="F343" s="359">
        <f t="shared" si="30"/>
        <v>7274</v>
      </c>
      <c r="G343" s="359"/>
      <c r="H343" s="359"/>
      <c r="I343" s="359">
        <v>7274</v>
      </c>
      <c r="J343" s="360"/>
      <c r="K343" s="353"/>
    </row>
    <row r="344" spans="1:11" s="354" customFormat="1" ht="22.5">
      <c r="A344" s="1557"/>
      <c r="B344" s="1560"/>
      <c r="C344" s="1566"/>
      <c r="D344" s="1566"/>
      <c r="E344" s="393" t="s">
        <v>338</v>
      </c>
      <c r="F344" s="394">
        <f>SUM(F345:F360)</f>
        <v>2042000</v>
      </c>
      <c r="G344" s="394">
        <f>SUM(G345:G360)</f>
        <v>0</v>
      </c>
      <c r="H344" s="394">
        <f>SUM(H345:H360)</f>
        <v>0</v>
      </c>
      <c r="I344" s="394">
        <f>SUM(I345:I360)</f>
        <v>2042000</v>
      </c>
      <c r="J344" s="395">
        <f>SUM(J345:J360)</f>
        <v>0</v>
      </c>
      <c r="K344" s="353"/>
    </row>
    <row r="345" spans="1:11" s="354" customFormat="1" ht="15" customHeight="1">
      <c r="A345" s="1557"/>
      <c r="B345" s="1560"/>
      <c r="C345" s="1566"/>
      <c r="D345" s="1566"/>
      <c r="E345" s="410" t="s">
        <v>439</v>
      </c>
      <c r="F345" s="359">
        <f t="shared" ref="F345:F360" si="31">SUM(G345:J345)</f>
        <v>190890</v>
      </c>
      <c r="G345" s="359"/>
      <c r="H345" s="359"/>
      <c r="I345" s="359">
        <v>190890</v>
      </c>
      <c r="J345" s="360"/>
      <c r="K345" s="353"/>
    </row>
    <row r="346" spans="1:11" s="354" customFormat="1" ht="15" customHeight="1">
      <c r="A346" s="1557"/>
      <c r="B346" s="1560"/>
      <c r="C346" s="1566"/>
      <c r="D346" s="1566"/>
      <c r="E346" s="410" t="s">
        <v>440</v>
      </c>
      <c r="F346" s="359">
        <f t="shared" si="31"/>
        <v>109110</v>
      </c>
      <c r="G346" s="359"/>
      <c r="H346" s="359"/>
      <c r="I346" s="359">
        <v>109110</v>
      </c>
      <c r="J346" s="360"/>
      <c r="K346" s="353"/>
    </row>
    <row r="347" spans="1:11" s="354" customFormat="1" ht="15" customHeight="1">
      <c r="A347" s="1557"/>
      <c r="B347" s="1560"/>
      <c r="C347" s="1566"/>
      <c r="D347" s="1566"/>
      <c r="E347" s="358" t="s">
        <v>339</v>
      </c>
      <c r="F347" s="359">
        <f t="shared" si="31"/>
        <v>109443</v>
      </c>
      <c r="G347" s="359"/>
      <c r="H347" s="359"/>
      <c r="I347" s="359">
        <v>109443</v>
      </c>
      <c r="J347" s="360"/>
      <c r="K347" s="353"/>
    </row>
    <row r="348" spans="1:11" s="354" customFormat="1" ht="15" customHeight="1">
      <c r="A348" s="1557"/>
      <c r="B348" s="1560"/>
      <c r="C348" s="1566"/>
      <c r="D348" s="1566"/>
      <c r="E348" s="358" t="s">
        <v>340</v>
      </c>
      <c r="F348" s="359">
        <f t="shared" si="31"/>
        <v>62557</v>
      </c>
      <c r="G348" s="359"/>
      <c r="H348" s="359"/>
      <c r="I348" s="359">
        <v>62557</v>
      </c>
      <c r="J348" s="360"/>
      <c r="K348" s="353"/>
    </row>
    <row r="349" spans="1:11" s="354" customFormat="1" ht="15" customHeight="1">
      <c r="A349" s="1557"/>
      <c r="B349" s="1560"/>
      <c r="C349" s="1566"/>
      <c r="D349" s="1566"/>
      <c r="E349" s="358" t="s">
        <v>441</v>
      </c>
      <c r="F349" s="359">
        <f t="shared" si="31"/>
        <v>1909</v>
      </c>
      <c r="G349" s="359"/>
      <c r="H349" s="359"/>
      <c r="I349" s="359">
        <v>1909</v>
      </c>
      <c r="J349" s="360"/>
      <c r="K349" s="353"/>
    </row>
    <row r="350" spans="1:11" s="354" customFormat="1" ht="15" customHeight="1">
      <c r="A350" s="1557"/>
      <c r="B350" s="1560"/>
      <c r="C350" s="1566"/>
      <c r="D350" s="1566"/>
      <c r="E350" s="358" t="s">
        <v>442</v>
      </c>
      <c r="F350" s="359">
        <f t="shared" si="31"/>
        <v>1091</v>
      </c>
      <c r="G350" s="359"/>
      <c r="H350" s="359"/>
      <c r="I350" s="359">
        <v>1091</v>
      </c>
      <c r="J350" s="360"/>
      <c r="K350" s="353"/>
    </row>
    <row r="351" spans="1:11" s="354" customFormat="1" ht="15" customHeight="1">
      <c r="A351" s="1557"/>
      <c r="B351" s="1560"/>
      <c r="C351" s="1566"/>
      <c r="D351" s="1566"/>
      <c r="E351" s="358" t="s">
        <v>341</v>
      </c>
      <c r="F351" s="359">
        <f t="shared" si="31"/>
        <v>941724</v>
      </c>
      <c r="G351" s="359"/>
      <c r="H351" s="359"/>
      <c r="I351" s="359">
        <v>941724</v>
      </c>
      <c r="J351" s="360"/>
      <c r="K351" s="353"/>
    </row>
    <row r="352" spans="1:11" s="354" customFormat="1" ht="15" customHeight="1">
      <c r="A352" s="1557"/>
      <c r="B352" s="1560"/>
      <c r="C352" s="1566"/>
      <c r="D352" s="1566"/>
      <c r="E352" s="358" t="s">
        <v>342</v>
      </c>
      <c r="F352" s="359">
        <f t="shared" si="31"/>
        <v>538276</v>
      </c>
      <c r="G352" s="359"/>
      <c r="H352" s="359"/>
      <c r="I352" s="359">
        <v>538276</v>
      </c>
      <c r="J352" s="360"/>
      <c r="K352" s="353"/>
    </row>
    <row r="353" spans="1:226" s="354" customFormat="1" ht="15" customHeight="1">
      <c r="A353" s="1557"/>
      <c r="B353" s="1560"/>
      <c r="C353" s="1566"/>
      <c r="D353" s="1566"/>
      <c r="E353" s="358" t="s">
        <v>354</v>
      </c>
      <c r="F353" s="359">
        <f t="shared" si="31"/>
        <v>1908</v>
      </c>
      <c r="G353" s="359"/>
      <c r="H353" s="359"/>
      <c r="I353" s="359">
        <v>1908</v>
      </c>
      <c r="J353" s="360"/>
      <c r="K353" s="353"/>
    </row>
    <row r="354" spans="1:226" s="354" customFormat="1" ht="15" customHeight="1">
      <c r="A354" s="1557"/>
      <c r="B354" s="1560"/>
      <c r="C354" s="1566"/>
      <c r="D354" s="1566"/>
      <c r="E354" s="358" t="s">
        <v>355</v>
      </c>
      <c r="F354" s="359">
        <f t="shared" si="31"/>
        <v>1092</v>
      </c>
      <c r="G354" s="359"/>
      <c r="H354" s="359"/>
      <c r="I354" s="359">
        <v>1092</v>
      </c>
      <c r="J354" s="360"/>
      <c r="K354" s="353"/>
    </row>
    <row r="355" spans="1:226" s="354" customFormat="1" ht="15" customHeight="1">
      <c r="A355" s="1557"/>
      <c r="B355" s="1560"/>
      <c r="C355" s="1566"/>
      <c r="D355" s="1566"/>
      <c r="E355" s="358" t="s">
        <v>345</v>
      </c>
      <c r="F355" s="359">
        <f t="shared" si="31"/>
        <v>15908</v>
      </c>
      <c r="G355" s="359"/>
      <c r="H355" s="359"/>
      <c r="I355" s="359">
        <v>15908</v>
      </c>
      <c r="J355" s="360"/>
      <c r="K355" s="353"/>
    </row>
    <row r="356" spans="1:226" s="354" customFormat="1" ht="15" customHeight="1">
      <c r="A356" s="1557"/>
      <c r="B356" s="1560"/>
      <c r="C356" s="1566"/>
      <c r="D356" s="1566"/>
      <c r="E356" s="358" t="s">
        <v>346</v>
      </c>
      <c r="F356" s="359">
        <f t="shared" si="31"/>
        <v>9092</v>
      </c>
      <c r="G356" s="359"/>
      <c r="H356" s="359"/>
      <c r="I356" s="359">
        <v>9092</v>
      </c>
      <c r="J356" s="360"/>
      <c r="K356" s="353"/>
    </row>
    <row r="357" spans="1:226" s="354" customFormat="1" ht="15" customHeight="1">
      <c r="A357" s="1557"/>
      <c r="B357" s="1560"/>
      <c r="C357" s="1566"/>
      <c r="D357" s="1566"/>
      <c r="E357" s="358" t="s">
        <v>443</v>
      </c>
      <c r="F357" s="359">
        <f t="shared" si="31"/>
        <v>9544</v>
      </c>
      <c r="G357" s="359"/>
      <c r="H357" s="359"/>
      <c r="I357" s="359">
        <v>9544</v>
      </c>
      <c r="J357" s="360"/>
      <c r="K357" s="353"/>
    </row>
    <row r="358" spans="1:226" s="354" customFormat="1" ht="15" customHeight="1">
      <c r="A358" s="1557"/>
      <c r="B358" s="1560"/>
      <c r="C358" s="1566"/>
      <c r="D358" s="1566"/>
      <c r="E358" s="358" t="s">
        <v>444</v>
      </c>
      <c r="F358" s="359">
        <f t="shared" si="31"/>
        <v>5456</v>
      </c>
      <c r="G358" s="359"/>
      <c r="H358" s="359"/>
      <c r="I358" s="359">
        <v>5456</v>
      </c>
      <c r="J358" s="360"/>
      <c r="K358" s="353"/>
    </row>
    <row r="359" spans="1:226" s="354" customFormat="1" ht="15" customHeight="1">
      <c r="A359" s="1557"/>
      <c r="B359" s="1560"/>
      <c r="C359" s="1566"/>
      <c r="D359" s="1566"/>
      <c r="E359" s="358" t="s">
        <v>378</v>
      </c>
      <c r="F359" s="359">
        <f t="shared" si="31"/>
        <v>27997</v>
      </c>
      <c r="G359" s="359"/>
      <c r="H359" s="359"/>
      <c r="I359" s="359">
        <v>27997</v>
      </c>
      <c r="J359" s="360"/>
      <c r="K359" s="353"/>
    </row>
    <row r="360" spans="1:226" s="354" customFormat="1" ht="15" customHeight="1">
      <c r="A360" s="1557"/>
      <c r="B360" s="1560"/>
      <c r="C360" s="1566"/>
      <c r="D360" s="1566"/>
      <c r="E360" s="358" t="s">
        <v>379</v>
      </c>
      <c r="F360" s="359">
        <f t="shared" si="31"/>
        <v>16003</v>
      </c>
      <c r="G360" s="359"/>
      <c r="H360" s="359"/>
      <c r="I360" s="359">
        <v>16003</v>
      </c>
      <c r="J360" s="360"/>
      <c r="K360" s="353"/>
    </row>
    <row r="361" spans="1:226" s="354" customFormat="1" ht="22.5" customHeight="1">
      <c r="A361" s="1558"/>
      <c r="B361" s="1561"/>
      <c r="C361" s="1567"/>
      <c r="D361" s="1567"/>
      <c r="E361" s="361" t="s">
        <v>318</v>
      </c>
      <c r="F361" s="356">
        <f>SUM(F362:F363)</f>
        <v>0</v>
      </c>
      <c r="G361" s="356">
        <f>SUM(G362:G363)</f>
        <v>0</v>
      </c>
      <c r="H361" s="356">
        <f>SUM(H362:H363)</f>
        <v>0</v>
      </c>
      <c r="I361" s="356">
        <f>SUM(I362:I363)</f>
        <v>0</v>
      </c>
      <c r="J361" s="357">
        <f>SUM(J362:J363)</f>
        <v>0</v>
      </c>
      <c r="K361" s="353"/>
    </row>
    <row r="362" spans="1:226" s="354" customFormat="1" ht="15" hidden="1" customHeight="1">
      <c r="A362" s="406"/>
      <c r="B362" s="407"/>
      <c r="C362" s="409"/>
      <c r="D362" s="409"/>
      <c r="E362" s="401"/>
      <c r="F362" s="402">
        <f>SUM(G362:J362)</f>
        <v>0</v>
      </c>
      <c r="G362" s="402"/>
      <c r="H362" s="402"/>
      <c r="I362" s="402"/>
      <c r="J362" s="403"/>
      <c r="K362" s="353"/>
    </row>
    <row r="363" spans="1:226" s="354" customFormat="1" ht="15" hidden="1" customHeight="1">
      <c r="A363" s="397"/>
      <c r="B363" s="398"/>
      <c r="C363" s="400"/>
      <c r="D363" s="400"/>
      <c r="E363" s="396"/>
      <c r="F363" s="359">
        <f>SUM(G363:J363)</f>
        <v>0</v>
      </c>
      <c r="G363" s="359"/>
      <c r="H363" s="359"/>
      <c r="I363" s="359"/>
      <c r="J363" s="360"/>
      <c r="K363" s="353"/>
    </row>
    <row r="364" spans="1:226" s="354" customFormat="1" ht="24.95" customHeight="1">
      <c r="A364" s="1556" t="s">
        <v>445</v>
      </c>
      <c r="B364" s="1559" t="s">
        <v>446</v>
      </c>
      <c r="C364" s="1565" t="s">
        <v>447</v>
      </c>
      <c r="D364" s="1565" t="s">
        <v>448</v>
      </c>
      <c r="E364" s="350" t="s">
        <v>315</v>
      </c>
      <c r="F364" s="351">
        <f>SUM(F365,F392)</f>
        <v>800000</v>
      </c>
      <c r="G364" s="351">
        <f>SUM(G365,G392)</f>
        <v>0</v>
      </c>
      <c r="H364" s="351">
        <f>SUM(H365,H392)</f>
        <v>0</v>
      </c>
      <c r="I364" s="351">
        <f>SUM(I365,I392)</f>
        <v>800000</v>
      </c>
      <c r="J364" s="352">
        <f>SUM(J365,J392)</f>
        <v>0</v>
      </c>
      <c r="K364" s="404"/>
      <c r="L364" s="353"/>
      <c r="M364" s="353"/>
      <c r="N364" s="353"/>
      <c r="O364" s="353"/>
      <c r="P364" s="353"/>
      <c r="Q364" s="353"/>
      <c r="R364" s="353"/>
      <c r="S364" s="353"/>
      <c r="T364" s="353"/>
      <c r="U364" s="353"/>
      <c r="V364" s="353"/>
      <c r="W364" s="353"/>
      <c r="X364" s="353"/>
      <c r="Y364" s="353"/>
      <c r="Z364" s="353"/>
      <c r="AA364" s="353"/>
      <c r="AB364" s="353"/>
      <c r="AC364" s="353"/>
      <c r="AD364" s="353"/>
      <c r="AE364" s="353"/>
      <c r="AF364" s="353"/>
      <c r="AG364" s="353"/>
      <c r="AH364" s="353"/>
      <c r="AI364" s="353"/>
      <c r="AJ364" s="353"/>
      <c r="AK364" s="353"/>
      <c r="AL364" s="353"/>
      <c r="AM364" s="353"/>
      <c r="AN364" s="353"/>
      <c r="AO364" s="353"/>
      <c r="AP364" s="353"/>
      <c r="AQ364" s="353"/>
      <c r="AR364" s="353"/>
      <c r="AS364" s="353"/>
      <c r="AT364" s="353"/>
      <c r="AU364" s="353"/>
      <c r="AV364" s="353"/>
      <c r="AW364" s="353"/>
      <c r="AX364" s="353"/>
      <c r="AY364" s="353"/>
      <c r="AZ364" s="353"/>
      <c r="BA364" s="353"/>
      <c r="BB364" s="353"/>
      <c r="BC364" s="353"/>
      <c r="BD364" s="353"/>
      <c r="BE364" s="353"/>
      <c r="BF364" s="353"/>
      <c r="BG364" s="353"/>
      <c r="BH364" s="353"/>
      <c r="BI364" s="353"/>
      <c r="BJ364" s="353"/>
      <c r="BK364" s="353"/>
      <c r="BL364" s="353"/>
      <c r="BM364" s="353"/>
      <c r="BN364" s="353"/>
      <c r="BO364" s="353"/>
      <c r="BP364" s="353"/>
      <c r="BQ364" s="353"/>
      <c r="BR364" s="353"/>
      <c r="BS364" s="353"/>
      <c r="BT364" s="353"/>
      <c r="BU364" s="353"/>
      <c r="BV364" s="353"/>
      <c r="BW364" s="353"/>
      <c r="BX364" s="353"/>
      <c r="BY364" s="353"/>
      <c r="BZ364" s="353"/>
      <c r="CA364" s="353"/>
      <c r="CB364" s="353"/>
      <c r="CC364" s="353"/>
      <c r="CD364" s="353"/>
      <c r="CE364" s="353"/>
      <c r="CF364" s="353"/>
      <c r="CG364" s="353"/>
      <c r="CH364" s="353"/>
      <c r="CI364" s="353"/>
      <c r="CJ364" s="353"/>
      <c r="CK364" s="353"/>
      <c r="CL364" s="353"/>
      <c r="CM364" s="353"/>
      <c r="CN364" s="353"/>
      <c r="CO364" s="353"/>
      <c r="CP364" s="353"/>
      <c r="CQ364" s="353"/>
      <c r="CR364" s="353"/>
      <c r="CS364" s="353"/>
      <c r="CT364" s="353"/>
      <c r="CU364" s="353"/>
      <c r="CV364" s="353"/>
      <c r="CW364" s="353"/>
      <c r="CX364" s="353"/>
      <c r="CY364" s="353"/>
      <c r="CZ364" s="353"/>
      <c r="DA364" s="353"/>
      <c r="DB364" s="353"/>
      <c r="DC364" s="353"/>
      <c r="DD364" s="353"/>
      <c r="DE364" s="353"/>
      <c r="DF364" s="353"/>
      <c r="DG364" s="353"/>
      <c r="DH364" s="353"/>
      <c r="DI364" s="353"/>
      <c r="DJ364" s="353"/>
      <c r="DK364" s="353"/>
      <c r="DL364" s="353"/>
      <c r="DM364" s="353"/>
      <c r="DN364" s="353"/>
      <c r="DO364" s="353"/>
      <c r="DP364" s="353"/>
      <c r="DQ364" s="353"/>
      <c r="DR364" s="353"/>
      <c r="DS364" s="353"/>
      <c r="DT364" s="353"/>
      <c r="DU364" s="353"/>
      <c r="DV364" s="353"/>
      <c r="DW364" s="353"/>
      <c r="DX364" s="353"/>
      <c r="DY364" s="353"/>
      <c r="DZ364" s="353"/>
      <c r="EA364" s="353"/>
      <c r="EB364" s="353"/>
      <c r="EC364" s="353"/>
      <c r="ED364" s="353"/>
      <c r="EE364" s="353"/>
      <c r="EF364" s="353"/>
      <c r="EG364" s="353"/>
      <c r="EH364" s="353"/>
      <c r="EI364" s="353"/>
      <c r="EJ364" s="353"/>
      <c r="EK364" s="353"/>
      <c r="EL364" s="353"/>
      <c r="EM364" s="353"/>
      <c r="EN364" s="353"/>
      <c r="EO364" s="353"/>
      <c r="EP364" s="353"/>
      <c r="EQ364" s="353"/>
      <c r="ER364" s="353"/>
      <c r="ES364" s="353"/>
      <c r="ET364" s="353"/>
      <c r="EU364" s="353"/>
      <c r="EV364" s="353"/>
      <c r="EW364" s="353"/>
      <c r="EX364" s="353"/>
      <c r="EY364" s="353"/>
      <c r="EZ364" s="353"/>
      <c r="FA364" s="353"/>
      <c r="FB364" s="353"/>
      <c r="FC364" s="353"/>
      <c r="FD364" s="353"/>
      <c r="FE364" s="353"/>
      <c r="FF364" s="353"/>
      <c r="FG364" s="353"/>
      <c r="FH364" s="353"/>
      <c r="FI364" s="353"/>
      <c r="FJ364" s="353"/>
      <c r="FK364" s="353"/>
      <c r="FL364" s="353"/>
      <c r="FM364" s="353"/>
      <c r="FN364" s="353"/>
      <c r="FO364" s="353"/>
      <c r="FP364" s="353"/>
      <c r="FQ364" s="353"/>
      <c r="FR364" s="353"/>
      <c r="FS364" s="353"/>
      <c r="FT364" s="353"/>
      <c r="FU364" s="353"/>
      <c r="FV364" s="353"/>
      <c r="FW364" s="353"/>
      <c r="FX364" s="353"/>
      <c r="FY364" s="353"/>
      <c r="FZ364" s="353"/>
      <c r="GA364" s="353"/>
      <c r="GB364" s="353"/>
      <c r="GC364" s="353"/>
      <c r="GD364" s="353"/>
      <c r="GE364" s="353"/>
      <c r="GF364" s="353"/>
      <c r="GG364" s="353"/>
      <c r="GH364" s="353"/>
      <c r="GI364" s="353"/>
      <c r="GJ364" s="353"/>
      <c r="GK364" s="353"/>
      <c r="GL364" s="353"/>
      <c r="GM364" s="353"/>
      <c r="GN364" s="353"/>
      <c r="GO364" s="353"/>
      <c r="GP364" s="353"/>
      <c r="GQ364" s="353"/>
      <c r="GR364" s="353"/>
      <c r="GS364" s="353"/>
      <c r="GT364" s="353"/>
      <c r="GU364" s="353"/>
      <c r="GV364" s="353"/>
      <c r="GW364" s="353"/>
      <c r="GX364" s="353"/>
      <c r="GY364" s="353"/>
      <c r="GZ364" s="353"/>
      <c r="HA364" s="353"/>
      <c r="HB364" s="353"/>
      <c r="HC364" s="353"/>
      <c r="HD364" s="353"/>
      <c r="HE364" s="353"/>
      <c r="HF364" s="353"/>
      <c r="HG364" s="353"/>
      <c r="HH364" s="353"/>
      <c r="HI364" s="353"/>
      <c r="HJ364" s="353"/>
      <c r="HK364" s="353"/>
      <c r="HL364" s="353"/>
      <c r="HM364" s="353"/>
      <c r="HN364" s="353"/>
      <c r="HO364" s="353"/>
      <c r="HP364" s="353"/>
      <c r="HQ364" s="353"/>
      <c r="HR364" s="353"/>
    </row>
    <row r="365" spans="1:226" s="354" customFormat="1" ht="20.100000000000001" customHeight="1">
      <c r="A365" s="1557"/>
      <c r="B365" s="1560"/>
      <c r="C365" s="1566"/>
      <c r="D365" s="1566"/>
      <c r="E365" s="355" t="s">
        <v>332</v>
      </c>
      <c r="F365" s="356">
        <f>SUM(F366,F377)</f>
        <v>800000</v>
      </c>
      <c r="G365" s="356">
        <f>SUM(G366,G377)</f>
        <v>0</v>
      </c>
      <c r="H365" s="356">
        <f>SUM(H366,H377)</f>
        <v>0</v>
      </c>
      <c r="I365" s="356">
        <f>SUM(I366,I377)</f>
        <v>800000</v>
      </c>
      <c r="J365" s="357">
        <f>SUM(J366,J377)</f>
        <v>0</v>
      </c>
      <c r="K365" s="353"/>
    </row>
    <row r="366" spans="1:226" s="354" customFormat="1" ht="24.95" customHeight="1">
      <c r="A366" s="1557"/>
      <c r="B366" s="1560"/>
      <c r="C366" s="1566"/>
      <c r="D366" s="1566"/>
      <c r="E366" s="393" t="s">
        <v>333</v>
      </c>
      <c r="F366" s="394">
        <f>SUM(F367:F376)</f>
        <v>566000</v>
      </c>
      <c r="G366" s="394">
        <f>SUM(G367:G376)</f>
        <v>0</v>
      </c>
      <c r="H366" s="394">
        <f>SUM(H367:H376)</f>
        <v>0</v>
      </c>
      <c r="I366" s="394">
        <f>SUM(I367:I376)</f>
        <v>566000</v>
      </c>
      <c r="J366" s="395">
        <f>SUM(J367:J376)</f>
        <v>0</v>
      </c>
      <c r="K366" s="353"/>
    </row>
    <row r="367" spans="1:226" s="354" customFormat="1" ht="15" customHeight="1">
      <c r="A367" s="1557"/>
      <c r="B367" s="1560"/>
      <c r="C367" s="1566"/>
      <c r="D367" s="1566"/>
      <c r="E367" s="358" t="s">
        <v>362</v>
      </c>
      <c r="F367" s="359">
        <f t="shared" ref="F367:F376" si="32">SUM(G367:J367)</f>
        <v>329550</v>
      </c>
      <c r="G367" s="359"/>
      <c r="H367" s="359"/>
      <c r="I367" s="359">
        <v>329550</v>
      </c>
      <c r="J367" s="360"/>
      <c r="K367" s="353"/>
    </row>
    <row r="368" spans="1:226" s="354" customFormat="1" ht="15" customHeight="1">
      <c r="A368" s="1557"/>
      <c r="B368" s="1560"/>
      <c r="C368" s="1566"/>
      <c r="D368" s="1566"/>
      <c r="E368" s="358" t="s">
        <v>363</v>
      </c>
      <c r="F368" s="359">
        <f t="shared" si="32"/>
        <v>109850</v>
      </c>
      <c r="G368" s="359"/>
      <c r="H368" s="359"/>
      <c r="I368" s="359">
        <v>109850</v>
      </c>
      <c r="J368" s="360"/>
      <c r="K368" s="353"/>
    </row>
    <row r="369" spans="1:11" s="354" customFormat="1" ht="15" customHeight="1">
      <c r="A369" s="1557"/>
      <c r="B369" s="1560"/>
      <c r="C369" s="1566"/>
      <c r="D369" s="1566"/>
      <c r="E369" s="358" t="s">
        <v>364</v>
      </c>
      <c r="F369" s="359">
        <f t="shared" si="32"/>
        <v>24750</v>
      </c>
      <c r="G369" s="359"/>
      <c r="H369" s="359"/>
      <c r="I369" s="359">
        <v>24750</v>
      </c>
      <c r="J369" s="360"/>
      <c r="K369" s="353"/>
    </row>
    <row r="370" spans="1:11" s="354" customFormat="1" ht="15" customHeight="1">
      <c r="A370" s="1557"/>
      <c r="B370" s="1560"/>
      <c r="C370" s="1566"/>
      <c r="D370" s="1566"/>
      <c r="E370" s="358" t="s">
        <v>365</v>
      </c>
      <c r="F370" s="359">
        <f t="shared" si="32"/>
        <v>8250</v>
      </c>
      <c r="G370" s="359"/>
      <c r="H370" s="359"/>
      <c r="I370" s="359">
        <v>8250</v>
      </c>
      <c r="J370" s="360"/>
      <c r="K370" s="353"/>
    </row>
    <row r="371" spans="1:11" s="354" customFormat="1" ht="15" customHeight="1">
      <c r="A371" s="1557"/>
      <c r="B371" s="1560"/>
      <c r="C371" s="1566"/>
      <c r="D371" s="1566"/>
      <c r="E371" s="358" t="s">
        <v>334</v>
      </c>
      <c r="F371" s="359">
        <f t="shared" si="32"/>
        <v>61500</v>
      </c>
      <c r="G371" s="359"/>
      <c r="H371" s="359"/>
      <c r="I371" s="359">
        <v>61500</v>
      </c>
      <c r="J371" s="360"/>
      <c r="K371" s="353"/>
    </row>
    <row r="372" spans="1:11" s="354" customFormat="1" ht="15" customHeight="1">
      <c r="A372" s="1557"/>
      <c r="B372" s="1560"/>
      <c r="C372" s="1566"/>
      <c r="D372" s="1566"/>
      <c r="E372" s="358" t="s">
        <v>335</v>
      </c>
      <c r="F372" s="359">
        <f t="shared" si="32"/>
        <v>20500</v>
      </c>
      <c r="G372" s="359"/>
      <c r="H372" s="359"/>
      <c r="I372" s="359">
        <v>20500</v>
      </c>
      <c r="J372" s="360"/>
      <c r="K372" s="353"/>
    </row>
    <row r="373" spans="1:11" s="354" customFormat="1" ht="15" customHeight="1">
      <c r="A373" s="1557"/>
      <c r="B373" s="1560"/>
      <c r="C373" s="1566"/>
      <c r="D373" s="1566"/>
      <c r="E373" s="358" t="s">
        <v>366</v>
      </c>
      <c r="F373" s="359">
        <f t="shared" si="32"/>
        <v>8250</v>
      </c>
      <c r="G373" s="359"/>
      <c r="H373" s="359"/>
      <c r="I373" s="359">
        <v>8250</v>
      </c>
      <c r="J373" s="360"/>
      <c r="K373" s="353"/>
    </row>
    <row r="374" spans="1:11" s="354" customFormat="1" ht="15" customHeight="1">
      <c r="A374" s="1557"/>
      <c r="B374" s="1560"/>
      <c r="C374" s="1566"/>
      <c r="D374" s="1566"/>
      <c r="E374" s="358" t="s">
        <v>367</v>
      </c>
      <c r="F374" s="359">
        <f t="shared" si="32"/>
        <v>2750</v>
      </c>
      <c r="G374" s="359"/>
      <c r="H374" s="359"/>
      <c r="I374" s="359">
        <v>2750</v>
      </c>
      <c r="J374" s="360"/>
      <c r="K374" s="353"/>
    </row>
    <row r="375" spans="1:11" s="354" customFormat="1" ht="15" customHeight="1">
      <c r="A375" s="1557"/>
      <c r="B375" s="1560"/>
      <c r="C375" s="1566"/>
      <c r="D375" s="1566"/>
      <c r="E375" s="358" t="s">
        <v>336</v>
      </c>
      <c r="F375" s="359">
        <f t="shared" si="32"/>
        <v>450</v>
      </c>
      <c r="G375" s="359"/>
      <c r="H375" s="359"/>
      <c r="I375" s="359">
        <v>450</v>
      </c>
      <c r="J375" s="360"/>
      <c r="K375" s="353"/>
    </row>
    <row r="376" spans="1:11" s="354" customFormat="1" ht="15" customHeight="1">
      <c r="A376" s="1557"/>
      <c r="B376" s="1560"/>
      <c r="C376" s="1566"/>
      <c r="D376" s="1566"/>
      <c r="E376" s="358" t="s">
        <v>337</v>
      </c>
      <c r="F376" s="359">
        <f t="shared" si="32"/>
        <v>150</v>
      </c>
      <c r="G376" s="359"/>
      <c r="H376" s="359"/>
      <c r="I376" s="359">
        <v>150</v>
      </c>
      <c r="J376" s="360"/>
      <c r="K376" s="353"/>
    </row>
    <row r="377" spans="1:11" s="354" customFormat="1" ht="24.95" customHeight="1">
      <c r="A377" s="1557"/>
      <c r="B377" s="1560"/>
      <c r="C377" s="1566"/>
      <c r="D377" s="1566"/>
      <c r="E377" s="393" t="s">
        <v>338</v>
      </c>
      <c r="F377" s="394">
        <f>SUM(F378:F391)</f>
        <v>234000</v>
      </c>
      <c r="G377" s="394">
        <f>SUM(G378:G391)</f>
        <v>0</v>
      </c>
      <c r="H377" s="394">
        <f>SUM(H378:H391)</f>
        <v>0</v>
      </c>
      <c r="I377" s="394">
        <f>SUM(I378:I391)</f>
        <v>234000</v>
      </c>
      <c r="J377" s="395">
        <f>SUM(J378:J391)</f>
        <v>0</v>
      </c>
      <c r="K377" s="353"/>
    </row>
    <row r="378" spans="1:11" s="354" customFormat="1" ht="15" customHeight="1">
      <c r="A378" s="1557"/>
      <c r="B378" s="1560"/>
      <c r="C378" s="1566"/>
      <c r="D378" s="1566"/>
      <c r="E378" s="358" t="s">
        <v>439</v>
      </c>
      <c r="F378" s="359">
        <f t="shared" ref="F378:F391" si="33">SUM(G378:J378)</f>
        <v>3750</v>
      </c>
      <c r="G378" s="359"/>
      <c r="H378" s="359"/>
      <c r="I378" s="359">
        <v>3750</v>
      </c>
      <c r="J378" s="360"/>
      <c r="K378" s="353"/>
    </row>
    <row r="379" spans="1:11" s="354" customFormat="1" ht="15" customHeight="1">
      <c r="A379" s="1557"/>
      <c r="B379" s="1560"/>
      <c r="C379" s="1566"/>
      <c r="D379" s="1566"/>
      <c r="E379" s="358" t="s">
        <v>440</v>
      </c>
      <c r="F379" s="359">
        <f t="shared" si="33"/>
        <v>1250</v>
      </c>
      <c r="G379" s="359"/>
      <c r="H379" s="359"/>
      <c r="I379" s="359">
        <v>1250</v>
      </c>
      <c r="J379" s="360"/>
      <c r="K379" s="353"/>
    </row>
    <row r="380" spans="1:11" s="354" customFormat="1" ht="15" customHeight="1">
      <c r="A380" s="1557"/>
      <c r="B380" s="1560"/>
      <c r="C380" s="1566"/>
      <c r="D380" s="1566"/>
      <c r="E380" s="358" t="s">
        <v>339</v>
      </c>
      <c r="F380" s="359">
        <f t="shared" si="33"/>
        <v>43500</v>
      </c>
      <c r="G380" s="359"/>
      <c r="H380" s="359"/>
      <c r="I380" s="359">
        <v>43500</v>
      </c>
      <c r="J380" s="360"/>
      <c r="K380" s="353"/>
    </row>
    <row r="381" spans="1:11" s="354" customFormat="1" ht="15" customHeight="1">
      <c r="A381" s="1557"/>
      <c r="B381" s="1560"/>
      <c r="C381" s="1566"/>
      <c r="D381" s="1566"/>
      <c r="E381" s="358" t="s">
        <v>340</v>
      </c>
      <c r="F381" s="359">
        <f t="shared" si="33"/>
        <v>14500</v>
      </c>
      <c r="G381" s="359"/>
      <c r="H381" s="359"/>
      <c r="I381" s="359">
        <v>14500</v>
      </c>
      <c r="J381" s="360"/>
      <c r="K381" s="353"/>
    </row>
    <row r="382" spans="1:11" s="354" customFormat="1" ht="15" customHeight="1">
      <c r="A382" s="1557"/>
      <c r="B382" s="1560"/>
      <c r="C382" s="1566"/>
      <c r="D382" s="1566"/>
      <c r="E382" s="358" t="s">
        <v>441</v>
      </c>
      <c r="F382" s="359">
        <f t="shared" si="33"/>
        <v>6750</v>
      </c>
      <c r="G382" s="359"/>
      <c r="H382" s="359"/>
      <c r="I382" s="359">
        <v>6750</v>
      </c>
      <c r="J382" s="360"/>
      <c r="K382" s="353"/>
    </row>
    <row r="383" spans="1:11" s="354" customFormat="1" ht="15" customHeight="1">
      <c r="A383" s="1557"/>
      <c r="B383" s="1560"/>
      <c r="C383" s="1566"/>
      <c r="D383" s="1566"/>
      <c r="E383" s="358" t="s">
        <v>442</v>
      </c>
      <c r="F383" s="359">
        <f t="shared" si="33"/>
        <v>2250</v>
      </c>
      <c r="G383" s="359"/>
      <c r="H383" s="359"/>
      <c r="I383" s="359">
        <v>2250</v>
      </c>
      <c r="J383" s="360"/>
      <c r="K383" s="353"/>
    </row>
    <row r="384" spans="1:11" s="354" customFormat="1" ht="15" customHeight="1">
      <c r="A384" s="1557"/>
      <c r="B384" s="1560"/>
      <c r="C384" s="1566"/>
      <c r="D384" s="1566"/>
      <c r="E384" s="358" t="s">
        <v>341</v>
      </c>
      <c r="F384" s="359">
        <f t="shared" si="33"/>
        <v>87750</v>
      </c>
      <c r="G384" s="359"/>
      <c r="H384" s="359"/>
      <c r="I384" s="359">
        <v>87750</v>
      </c>
      <c r="J384" s="360"/>
      <c r="K384" s="353"/>
    </row>
    <row r="385" spans="1:226" s="354" customFormat="1" ht="15" customHeight="1">
      <c r="A385" s="1557"/>
      <c r="B385" s="1560"/>
      <c r="C385" s="1566"/>
      <c r="D385" s="1566"/>
      <c r="E385" s="358" t="s">
        <v>342</v>
      </c>
      <c r="F385" s="359">
        <f t="shared" si="33"/>
        <v>29250</v>
      </c>
      <c r="G385" s="359"/>
      <c r="H385" s="359"/>
      <c r="I385" s="359">
        <v>29250</v>
      </c>
      <c r="J385" s="360"/>
      <c r="K385" s="353"/>
    </row>
    <row r="386" spans="1:226" s="354" customFormat="1" ht="15" customHeight="1">
      <c r="A386" s="1557"/>
      <c r="B386" s="1560"/>
      <c r="C386" s="1566"/>
      <c r="D386" s="1566"/>
      <c r="E386" s="358" t="s">
        <v>354</v>
      </c>
      <c r="F386" s="359">
        <f t="shared" si="33"/>
        <v>6750</v>
      </c>
      <c r="G386" s="359"/>
      <c r="H386" s="359"/>
      <c r="I386" s="359">
        <v>6750</v>
      </c>
      <c r="J386" s="360"/>
      <c r="K386" s="353"/>
    </row>
    <row r="387" spans="1:226" s="354" customFormat="1" ht="15" customHeight="1">
      <c r="A387" s="1557"/>
      <c r="B387" s="1560"/>
      <c r="C387" s="1566"/>
      <c r="D387" s="1566"/>
      <c r="E387" s="358" t="s">
        <v>355</v>
      </c>
      <c r="F387" s="359">
        <f t="shared" si="33"/>
        <v>2250</v>
      </c>
      <c r="G387" s="359"/>
      <c r="H387" s="359"/>
      <c r="I387" s="359">
        <v>2250</v>
      </c>
      <c r="J387" s="360"/>
      <c r="K387" s="353"/>
    </row>
    <row r="388" spans="1:226" s="354" customFormat="1" ht="15" customHeight="1">
      <c r="A388" s="1557"/>
      <c r="B388" s="1560"/>
      <c r="C388" s="1566"/>
      <c r="D388" s="1566"/>
      <c r="E388" s="358" t="s">
        <v>345</v>
      </c>
      <c r="F388" s="359">
        <f t="shared" si="33"/>
        <v>12000</v>
      </c>
      <c r="G388" s="359"/>
      <c r="H388" s="359"/>
      <c r="I388" s="359">
        <v>12000</v>
      </c>
      <c r="J388" s="360"/>
      <c r="K388" s="353"/>
    </row>
    <row r="389" spans="1:226" s="354" customFormat="1" ht="15" customHeight="1">
      <c r="A389" s="1557"/>
      <c r="B389" s="1560"/>
      <c r="C389" s="1566"/>
      <c r="D389" s="1566"/>
      <c r="E389" s="358" t="s">
        <v>346</v>
      </c>
      <c r="F389" s="359">
        <f t="shared" si="33"/>
        <v>4000</v>
      </c>
      <c r="G389" s="359"/>
      <c r="H389" s="359"/>
      <c r="I389" s="359">
        <v>4000</v>
      </c>
      <c r="J389" s="360"/>
      <c r="K389" s="353"/>
    </row>
    <row r="390" spans="1:226" s="354" customFormat="1" ht="15" customHeight="1">
      <c r="A390" s="1557"/>
      <c r="B390" s="1560"/>
      <c r="C390" s="1566"/>
      <c r="D390" s="1566"/>
      <c r="E390" s="358" t="s">
        <v>378</v>
      </c>
      <c r="F390" s="359">
        <f t="shared" si="33"/>
        <v>15000</v>
      </c>
      <c r="G390" s="359"/>
      <c r="H390" s="359"/>
      <c r="I390" s="359">
        <v>15000</v>
      </c>
      <c r="J390" s="360"/>
      <c r="K390" s="353"/>
    </row>
    <row r="391" spans="1:226" s="354" customFormat="1" ht="15" customHeight="1">
      <c r="A391" s="1557"/>
      <c r="B391" s="1560"/>
      <c r="C391" s="1566"/>
      <c r="D391" s="1566"/>
      <c r="E391" s="358" t="s">
        <v>379</v>
      </c>
      <c r="F391" s="359">
        <f t="shared" si="33"/>
        <v>5000</v>
      </c>
      <c r="G391" s="359"/>
      <c r="H391" s="359"/>
      <c r="I391" s="359">
        <v>5000</v>
      </c>
      <c r="J391" s="360"/>
      <c r="K391" s="353"/>
    </row>
    <row r="392" spans="1:226" s="354" customFormat="1" ht="20.100000000000001" customHeight="1">
      <c r="A392" s="1558"/>
      <c r="B392" s="1561"/>
      <c r="C392" s="1567"/>
      <c r="D392" s="1567"/>
      <c r="E392" s="361" t="s">
        <v>318</v>
      </c>
      <c r="F392" s="356">
        <f>SUM(F393:F394)</f>
        <v>0</v>
      </c>
      <c r="G392" s="356">
        <f>SUM(G393:G394)</f>
        <v>0</v>
      </c>
      <c r="H392" s="356">
        <f>SUM(H393:H394)</f>
        <v>0</v>
      </c>
      <c r="I392" s="356">
        <f>SUM(I393:I394)</f>
        <v>0</v>
      </c>
      <c r="J392" s="357">
        <f>SUM(J393:J394)</f>
        <v>0</v>
      </c>
      <c r="K392" s="353"/>
    </row>
    <row r="393" spans="1:226" s="354" customFormat="1" ht="15" hidden="1" customHeight="1">
      <c r="A393" s="406"/>
      <c r="B393" s="407"/>
      <c r="C393" s="409"/>
      <c r="D393" s="409"/>
      <c r="E393" s="401" t="s">
        <v>380</v>
      </c>
      <c r="F393" s="402">
        <f>SUM(G393:J393)</f>
        <v>0</v>
      </c>
      <c r="G393" s="402"/>
      <c r="H393" s="402"/>
      <c r="I393" s="402"/>
      <c r="J393" s="403"/>
      <c r="K393" s="353"/>
    </row>
    <row r="394" spans="1:226" s="354" customFormat="1" ht="15" hidden="1" customHeight="1">
      <c r="A394" s="397"/>
      <c r="B394" s="398"/>
      <c r="C394" s="400"/>
      <c r="D394" s="400"/>
      <c r="E394" s="396">
        <v>6069</v>
      </c>
      <c r="F394" s="359">
        <f>SUM(G394:J394)</f>
        <v>0</v>
      </c>
      <c r="G394" s="359"/>
      <c r="H394" s="359"/>
      <c r="I394" s="359"/>
      <c r="J394" s="360"/>
      <c r="K394" s="353"/>
    </row>
    <row r="395" spans="1:226" s="354" customFormat="1" ht="24.95" customHeight="1">
      <c r="A395" s="1556" t="s">
        <v>449</v>
      </c>
      <c r="B395" s="1559" t="s">
        <v>450</v>
      </c>
      <c r="C395" s="1565" t="s">
        <v>451</v>
      </c>
      <c r="D395" s="1565" t="s">
        <v>417</v>
      </c>
      <c r="E395" s="350" t="s">
        <v>315</v>
      </c>
      <c r="F395" s="351">
        <f>SUM(F396,F417)</f>
        <v>216988</v>
      </c>
      <c r="G395" s="351">
        <f>SUM(G396,G417)</f>
        <v>216988</v>
      </c>
      <c r="H395" s="351">
        <f>SUM(H396,H417)</f>
        <v>0</v>
      </c>
      <c r="I395" s="351">
        <f>SUM(I396,I417)</f>
        <v>0</v>
      </c>
      <c r="J395" s="352">
        <f>SUM(J396,J417)</f>
        <v>0</v>
      </c>
      <c r="K395" s="353"/>
      <c r="L395" s="353"/>
      <c r="M395" s="353"/>
      <c r="N395" s="353"/>
      <c r="O395" s="353"/>
      <c r="P395" s="353"/>
      <c r="Q395" s="353"/>
      <c r="R395" s="353"/>
      <c r="S395" s="353"/>
      <c r="T395" s="353"/>
      <c r="U395" s="353"/>
      <c r="V395" s="353"/>
      <c r="W395" s="353"/>
      <c r="X395" s="353"/>
      <c r="Y395" s="353"/>
      <c r="Z395" s="353"/>
      <c r="AA395" s="353"/>
      <c r="AB395" s="353"/>
      <c r="AC395" s="353"/>
      <c r="AD395" s="353"/>
      <c r="AE395" s="353"/>
      <c r="AF395" s="353"/>
      <c r="AG395" s="353"/>
      <c r="AH395" s="353"/>
      <c r="AI395" s="353"/>
      <c r="AJ395" s="353"/>
      <c r="AK395" s="353"/>
      <c r="AL395" s="353"/>
      <c r="AM395" s="353"/>
      <c r="AN395" s="353"/>
      <c r="AO395" s="353"/>
      <c r="AP395" s="353"/>
      <c r="AQ395" s="353"/>
      <c r="AR395" s="353"/>
      <c r="AS395" s="353"/>
      <c r="AT395" s="353"/>
      <c r="AU395" s="353"/>
      <c r="AV395" s="353"/>
      <c r="AW395" s="353"/>
      <c r="AX395" s="353"/>
      <c r="AY395" s="353"/>
      <c r="AZ395" s="353"/>
      <c r="BA395" s="353"/>
      <c r="BB395" s="353"/>
      <c r="BC395" s="353"/>
      <c r="BD395" s="353"/>
      <c r="BE395" s="353"/>
      <c r="BF395" s="353"/>
      <c r="BG395" s="353"/>
      <c r="BH395" s="353"/>
      <c r="BI395" s="353"/>
      <c r="BJ395" s="353"/>
      <c r="BK395" s="353"/>
      <c r="BL395" s="353"/>
      <c r="BM395" s="353"/>
      <c r="BN395" s="353"/>
      <c r="BO395" s="353"/>
      <c r="BP395" s="353"/>
      <c r="BQ395" s="353"/>
      <c r="BR395" s="353"/>
      <c r="BS395" s="353"/>
      <c r="BT395" s="353"/>
      <c r="BU395" s="353"/>
      <c r="BV395" s="353"/>
      <c r="BW395" s="353"/>
      <c r="BX395" s="353"/>
      <c r="BY395" s="353"/>
      <c r="BZ395" s="353"/>
      <c r="CA395" s="353"/>
      <c r="CB395" s="353"/>
      <c r="CC395" s="353"/>
      <c r="CD395" s="353"/>
      <c r="CE395" s="353"/>
      <c r="CF395" s="353"/>
      <c r="CG395" s="353"/>
      <c r="CH395" s="353"/>
      <c r="CI395" s="353"/>
      <c r="CJ395" s="353"/>
      <c r="CK395" s="353"/>
      <c r="CL395" s="353"/>
      <c r="CM395" s="353"/>
      <c r="CN395" s="353"/>
      <c r="CO395" s="353"/>
      <c r="CP395" s="353"/>
      <c r="CQ395" s="353"/>
      <c r="CR395" s="353"/>
      <c r="CS395" s="353"/>
      <c r="CT395" s="353"/>
      <c r="CU395" s="353"/>
      <c r="CV395" s="353"/>
      <c r="CW395" s="353"/>
      <c r="CX395" s="353"/>
      <c r="CY395" s="353"/>
      <c r="CZ395" s="353"/>
      <c r="DA395" s="353"/>
      <c r="DB395" s="353"/>
      <c r="DC395" s="353"/>
      <c r="DD395" s="353"/>
      <c r="DE395" s="353"/>
      <c r="DF395" s="353"/>
      <c r="DG395" s="353"/>
      <c r="DH395" s="353"/>
      <c r="DI395" s="353"/>
      <c r="DJ395" s="353"/>
      <c r="DK395" s="353"/>
      <c r="DL395" s="353"/>
      <c r="DM395" s="353"/>
      <c r="DN395" s="353"/>
      <c r="DO395" s="353"/>
      <c r="DP395" s="353"/>
      <c r="DQ395" s="353"/>
      <c r="DR395" s="353"/>
      <c r="DS395" s="353"/>
      <c r="DT395" s="353"/>
      <c r="DU395" s="353"/>
      <c r="DV395" s="353"/>
      <c r="DW395" s="353"/>
      <c r="DX395" s="353"/>
      <c r="DY395" s="353"/>
      <c r="DZ395" s="353"/>
      <c r="EA395" s="353"/>
      <c r="EB395" s="353"/>
      <c r="EC395" s="353"/>
      <c r="ED395" s="353"/>
      <c r="EE395" s="353"/>
      <c r="EF395" s="353"/>
      <c r="EG395" s="353"/>
      <c r="EH395" s="353"/>
      <c r="EI395" s="353"/>
      <c r="EJ395" s="353"/>
      <c r="EK395" s="353"/>
      <c r="EL395" s="353"/>
      <c r="EM395" s="353"/>
      <c r="EN395" s="353"/>
      <c r="EO395" s="353"/>
      <c r="EP395" s="353"/>
      <c r="EQ395" s="353"/>
      <c r="ER395" s="353"/>
      <c r="ES395" s="353"/>
      <c r="ET395" s="353"/>
      <c r="EU395" s="353"/>
      <c r="EV395" s="353"/>
      <c r="EW395" s="353"/>
      <c r="EX395" s="353"/>
      <c r="EY395" s="353"/>
      <c r="EZ395" s="353"/>
      <c r="FA395" s="353"/>
      <c r="FB395" s="353"/>
      <c r="FC395" s="353"/>
      <c r="FD395" s="353"/>
      <c r="FE395" s="353"/>
      <c r="FF395" s="353"/>
      <c r="FG395" s="353"/>
      <c r="FH395" s="353"/>
      <c r="FI395" s="353"/>
      <c r="FJ395" s="353"/>
      <c r="FK395" s="353"/>
      <c r="FL395" s="353"/>
      <c r="FM395" s="353"/>
      <c r="FN395" s="353"/>
      <c r="FO395" s="353"/>
      <c r="FP395" s="353"/>
      <c r="FQ395" s="353"/>
      <c r="FR395" s="353"/>
      <c r="FS395" s="353"/>
      <c r="FT395" s="353"/>
      <c r="FU395" s="353"/>
      <c r="FV395" s="353"/>
      <c r="FW395" s="353"/>
      <c r="FX395" s="353"/>
      <c r="FY395" s="353"/>
      <c r="FZ395" s="353"/>
      <c r="GA395" s="353"/>
      <c r="GB395" s="353"/>
      <c r="GC395" s="353"/>
      <c r="GD395" s="353"/>
      <c r="GE395" s="353"/>
      <c r="GF395" s="353"/>
      <c r="GG395" s="353"/>
      <c r="GH395" s="353"/>
      <c r="GI395" s="353"/>
      <c r="GJ395" s="353"/>
      <c r="GK395" s="353"/>
      <c r="GL395" s="353"/>
      <c r="GM395" s="353"/>
      <c r="GN395" s="353"/>
      <c r="GO395" s="353"/>
      <c r="GP395" s="353"/>
      <c r="GQ395" s="353"/>
      <c r="GR395" s="353"/>
      <c r="GS395" s="353"/>
      <c r="GT395" s="353"/>
      <c r="GU395" s="353"/>
      <c r="GV395" s="353"/>
      <c r="GW395" s="353"/>
      <c r="GX395" s="353"/>
      <c r="GY395" s="353"/>
      <c r="GZ395" s="353"/>
      <c r="HA395" s="353"/>
      <c r="HB395" s="353"/>
      <c r="HC395" s="353"/>
      <c r="HD395" s="353"/>
      <c r="HE395" s="353"/>
      <c r="HF395" s="353"/>
      <c r="HG395" s="353"/>
      <c r="HH395" s="353"/>
      <c r="HI395" s="353"/>
      <c r="HJ395" s="353"/>
      <c r="HK395" s="353"/>
      <c r="HL395" s="353"/>
      <c r="HM395" s="353"/>
      <c r="HN395" s="353"/>
      <c r="HO395" s="353"/>
      <c r="HP395" s="353"/>
      <c r="HQ395" s="353"/>
      <c r="HR395" s="353"/>
    </row>
    <row r="396" spans="1:226" s="354" customFormat="1" ht="20.100000000000001" customHeight="1">
      <c r="A396" s="1557"/>
      <c r="B396" s="1560"/>
      <c r="C396" s="1566"/>
      <c r="D396" s="1566"/>
      <c r="E396" s="355" t="s">
        <v>332</v>
      </c>
      <c r="F396" s="356">
        <f>SUM(F397,F406)</f>
        <v>216988</v>
      </c>
      <c r="G396" s="356">
        <f>SUM(G397,G406)</f>
        <v>216988</v>
      </c>
      <c r="H396" s="356">
        <f>SUM(H397,H406)</f>
        <v>0</v>
      </c>
      <c r="I396" s="356">
        <f>SUM(I397,I406)</f>
        <v>0</v>
      </c>
      <c r="J396" s="357">
        <f>SUM(J397,J406)</f>
        <v>0</v>
      </c>
      <c r="K396" s="353"/>
    </row>
    <row r="397" spans="1:226" s="354" customFormat="1" ht="24.95" customHeight="1">
      <c r="A397" s="1557"/>
      <c r="B397" s="1560"/>
      <c r="C397" s="1566"/>
      <c r="D397" s="1566"/>
      <c r="E397" s="393" t="s">
        <v>333</v>
      </c>
      <c r="F397" s="394">
        <f>SUM(F398:F405)</f>
        <v>70000</v>
      </c>
      <c r="G397" s="394">
        <f>SUM(G398:G405)</f>
        <v>70000</v>
      </c>
      <c r="H397" s="394">
        <f>SUM(H398:H405)</f>
        <v>0</v>
      </c>
      <c r="I397" s="394">
        <f>SUM(I398:I405)</f>
        <v>0</v>
      </c>
      <c r="J397" s="395">
        <f>SUM(J398:J405)</f>
        <v>0</v>
      </c>
      <c r="K397" s="353"/>
    </row>
    <row r="398" spans="1:226" s="354" customFormat="1" ht="15" customHeight="1">
      <c r="A398" s="1557"/>
      <c r="B398" s="1560"/>
      <c r="C398" s="1566"/>
      <c r="D398" s="1566"/>
      <c r="E398" s="358" t="s">
        <v>362</v>
      </c>
      <c r="F398" s="359">
        <f t="shared" ref="F398:F405" si="34">SUM(G398:J398)</f>
        <v>28419</v>
      </c>
      <c r="G398" s="359">
        <v>28419</v>
      </c>
      <c r="H398" s="359"/>
      <c r="I398" s="359"/>
      <c r="J398" s="360"/>
      <c r="K398" s="353"/>
    </row>
    <row r="399" spans="1:226" s="354" customFormat="1" ht="15" customHeight="1">
      <c r="A399" s="1557"/>
      <c r="B399" s="1560"/>
      <c r="C399" s="1566"/>
      <c r="D399" s="1566"/>
      <c r="E399" s="358" t="s">
        <v>363</v>
      </c>
      <c r="F399" s="359">
        <f t="shared" si="34"/>
        <v>5015</v>
      </c>
      <c r="G399" s="359">
        <v>5015</v>
      </c>
      <c r="H399" s="359"/>
      <c r="I399" s="359"/>
      <c r="J399" s="360"/>
      <c r="K399" s="353"/>
    </row>
    <row r="400" spans="1:226" s="354" customFormat="1" ht="15" customHeight="1">
      <c r="A400" s="1557"/>
      <c r="B400" s="1560"/>
      <c r="C400" s="1566"/>
      <c r="D400" s="1566"/>
      <c r="E400" s="358" t="s">
        <v>334</v>
      </c>
      <c r="F400" s="359">
        <f t="shared" si="34"/>
        <v>4885</v>
      </c>
      <c r="G400" s="359">
        <v>4885</v>
      </c>
      <c r="H400" s="359"/>
      <c r="I400" s="359"/>
      <c r="J400" s="360"/>
      <c r="K400" s="353"/>
    </row>
    <row r="401" spans="1:11" s="354" customFormat="1" ht="15" customHeight="1">
      <c r="A401" s="1557"/>
      <c r="B401" s="1560"/>
      <c r="C401" s="1566"/>
      <c r="D401" s="1566"/>
      <c r="E401" s="358" t="s">
        <v>335</v>
      </c>
      <c r="F401" s="359">
        <f t="shared" si="34"/>
        <v>862</v>
      </c>
      <c r="G401" s="359">
        <v>862</v>
      </c>
      <c r="H401" s="359"/>
      <c r="I401" s="359"/>
      <c r="J401" s="360"/>
      <c r="K401" s="353"/>
    </row>
    <row r="402" spans="1:11" s="354" customFormat="1" ht="15" customHeight="1">
      <c r="A402" s="1557"/>
      <c r="B402" s="1560"/>
      <c r="C402" s="1566"/>
      <c r="D402" s="1566"/>
      <c r="E402" s="358" t="s">
        <v>366</v>
      </c>
      <c r="F402" s="359">
        <f t="shared" si="34"/>
        <v>696</v>
      </c>
      <c r="G402" s="359">
        <v>696</v>
      </c>
      <c r="H402" s="359"/>
      <c r="I402" s="359"/>
      <c r="J402" s="360"/>
      <c r="K402" s="353"/>
    </row>
    <row r="403" spans="1:11" s="354" customFormat="1" ht="15" customHeight="1">
      <c r="A403" s="1557"/>
      <c r="B403" s="1560"/>
      <c r="C403" s="1566"/>
      <c r="D403" s="1566"/>
      <c r="E403" s="358" t="s">
        <v>367</v>
      </c>
      <c r="F403" s="359">
        <f t="shared" si="34"/>
        <v>123</v>
      </c>
      <c r="G403" s="359">
        <v>123</v>
      </c>
      <c r="H403" s="359"/>
      <c r="I403" s="359"/>
      <c r="J403" s="360"/>
      <c r="K403" s="353"/>
    </row>
    <row r="404" spans="1:11" s="354" customFormat="1" ht="15" customHeight="1">
      <c r="A404" s="1557"/>
      <c r="B404" s="1560"/>
      <c r="C404" s="1566"/>
      <c r="D404" s="1566"/>
      <c r="E404" s="358" t="s">
        <v>336</v>
      </c>
      <c r="F404" s="359">
        <f t="shared" si="34"/>
        <v>25500</v>
      </c>
      <c r="G404" s="359">
        <v>25500</v>
      </c>
      <c r="H404" s="359"/>
      <c r="I404" s="359"/>
      <c r="J404" s="360"/>
      <c r="K404" s="353"/>
    </row>
    <row r="405" spans="1:11" s="354" customFormat="1" ht="15" customHeight="1">
      <c r="A405" s="1557"/>
      <c r="B405" s="1560"/>
      <c r="C405" s="1566"/>
      <c r="D405" s="1566"/>
      <c r="E405" s="358" t="s">
        <v>337</v>
      </c>
      <c r="F405" s="359">
        <f t="shared" si="34"/>
        <v>4500</v>
      </c>
      <c r="G405" s="359">
        <v>4500</v>
      </c>
      <c r="H405" s="359"/>
      <c r="I405" s="359"/>
      <c r="J405" s="360"/>
      <c r="K405" s="353"/>
    </row>
    <row r="406" spans="1:11" s="354" customFormat="1" ht="24.95" customHeight="1">
      <c r="A406" s="1557"/>
      <c r="B406" s="1560"/>
      <c r="C406" s="1566"/>
      <c r="D406" s="1566"/>
      <c r="E406" s="393" t="s">
        <v>338</v>
      </c>
      <c r="F406" s="394">
        <f>SUM(F407:F416)</f>
        <v>146988</v>
      </c>
      <c r="G406" s="394">
        <f>SUM(G407:G416)</f>
        <v>146988</v>
      </c>
      <c r="H406" s="394">
        <f>SUM(H407:H416)</f>
        <v>0</v>
      </c>
      <c r="I406" s="394">
        <f>SUM(I407:I416)</f>
        <v>0</v>
      </c>
      <c r="J406" s="395">
        <f>SUM(J407:J416)</f>
        <v>0</v>
      </c>
      <c r="K406" s="353"/>
    </row>
    <row r="407" spans="1:11" s="354" customFormat="1" ht="15" customHeight="1">
      <c r="A407" s="1557"/>
      <c r="B407" s="1560"/>
      <c r="C407" s="1566"/>
      <c r="D407" s="1566"/>
      <c r="E407" s="358" t="s">
        <v>339</v>
      </c>
      <c r="F407" s="359">
        <f t="shared" ref="F407:F416" si="35">SUM(G407:J407)</f>
        <v>5940</v>
      </c>
      <c r="G407" s="359">
        <v>5940</v>
      </c>
      <c r="H407" s="359"/>
      <c r="I407" s="359"/>
      <c r="J407" s="360"/>
      <c r="K407" s="353"/>
    </row>
    <row r="408" spans="1:11" s="354" customFormat="1" ht="15" customHeight="1">
      <c r="A408" s="1557"/>
      <c r="B408" s="1560"/>
      <c r="C408" s="1566"/>
      <c r="D408" s="1566"/>
      <c r="E408" s="358" t="s">
        <v>340</v>
      </c>
      <c r="F408" s="359">
        <f t="shared" si="35"/>
        <v>1048</v>
      </c>
      <c r="G408" s="359">
        <v>1048</v>
      </c>
      <c r="H408" s="359"/>
      <c r="I408" s="359"/>
      <c r="J408" s="360"/>
      <c r="K408" s="353"/>
    </row>
    <row r="409" spans="1:11" s="354" customFormat="1" ht="15" customHeight="1">
      <c r="A409" s="1557"/>
      <c r="B409" s="1560"/>
      <c r="C409" s="1566"/>
      <c r="D409" s="1566"/>
      <c r="E409" s="358" t="s">
        <v>341</v>
      </c>
      <c r="F409" s="359">
        <f t="shared" si="35"/>
        <v>34000</v>
      </c>
      <c r="G409" s="359">
        <v>34000</v>
      </c>
      <c r="H409" s="359"/>
      <c r="I409" s="359"/>
      <c r="J409" s="360"/>
      <c r="K409" s="353"/>
    </row>
    <row r="410" spans="1:11" s="354" customFormat="1" ht="15" customHeight="1">
      <c r="A410" s="1557"/>
      <c r="B410" s="1560"/>
      <c r="C410" s="1566"/>
      <c r="D410" s="1566"/>
      <c r="E410" s="358" t="s">
        <v>342</v>
      </c>
      <c r="F410" s="359">
        <f t="shared" si="35"/>
        <v>6000</v>
      </c>
      <c r="G410" s="359">
        <v>6000</v>
      </c>
      <c r="H410" s="359"/>
      <c r="I410" s="359"/>
      <c r="J410" s="360"/>
      <c r="K410" s="353"/>
    </row>
    <row r="411" spans="1:11" s="354" customFormat="1" ht="15" customHeight="1">
      <c r="A411" s="1557"/>
      <c r="B411" s="1560"/>
      <c r="C411" s="1566"/>
      <c r="D411" s="1566"/>
      <c r="E411" s="358" t="s">
        <v>343</v>
      </c>
      <c r="F411" s="359">
        <f t="shared" si="35"/>
        <v>17000</v>
      </c>
      <c r="G411" s="359">
        <v>17000</v>
      </c>
      <c r="H411" s="359"/>
      <c r="I411" s="359"/>
      <c r="J411" s="360"/>
      <c r="K411" s="353"/>
    </row>
    <row r="412" spans="1:11" s="354" customFormat="1" ht="15" customHeight="1">
      <c r="A412" s="1557"/>
      <c r="B412" s="1560"/>
      <c r="C412" s="1566"/>
      <c r="D412" s="1566"/>
      <c r="E412" s="358" t="s">
        <v>344</v>
      </c>
      <c r="F412" s="359">
        <f t="shared" si="35"/>
        <v>3000</v>
      </c>
      <c r="G412" s="359">
        <v>3000</v>
      </c>
      <c r="H412" s="359"/>
      <c r="I412" s="359"/>
      <c r="J412" s="360"/>
      <c r="K412" s="353"/>
    </row>
    <row r="413" spans="1:11" s="354" customFormat="1" ht="15" customHeight="1">
      <c r="A413" s="1557"/>
      <c r="B413" s="1560"/>
      <c r="C413" s="1566"/>
      <c r="D413" s="1566"/>
      <c r="E413" s="358" t="s">
        <v>354</v>
      </c>
      <c r="F413" s="359">
        <f t="shared" si="35"/>
        <v>8500</v>
      </c>
      <c r="G413" s="359">
        <v>8500</v>
      </c>
      <c r="H413" s="359"/>
      <c r="I413" s="359"/>
      <c r="J413" s="360"/>
      <c r="K413" s="353"/>
    </row>
    <row r="414" spans="1:11" s="354" customFormat="1" ht="15" customHeight="1">
      <c r="A414" s="1557"/>
      <c r="B414" s="1560"/>
      <c r="C414" s="1566"/>
      <c r="D414" s="1566"/>
      <c r="E414" s="358" t="s">
        <v>355</v>
      </c>
      <c r="F414" s="359">
        <f t="shared" si="35"/>
        <v>1500</v>
      </c>
      <c r="G414" s="359">
        <v>1500</v>
      </c>
      <c r="H414" s="359"/>
      <c r="I414" s="359"/>
      <c r="J414" s="360"/>
      <c r="K414" s="353"/>
    </row>
    <row r="415" spans="1:11" s="354" customFormat="1" ht="15" customHeight="1">
      <c r="A415" s="1557"/>
      <c r="B415" s="1560"/>
      <c r="C415" s="1566"/>
      <c r="D415" s="1566"/>
      <c r="E415" s="358" t="s">
        <v>347</v>
      </c>
      <c r="F415" s="359">
        <f t="shared" si="35"/>
        <v>59500</v>
      </c>
      <c r="G415" s="359">
        <v>59500</v>
      </c>
      <c r="H415" s="359"/>
      <c r="I415" s="359"/>
      <c r="J415" s="360"/>
      <c r="K415" s="353"/>
    </row>
    <row r="416" spans="1:11" s="354" customFormat="1" ht="15" customHeight="1">
      <c r="A416" s="1557"/>
      <c r="B416" s="1560"/>
      <c r="C416" s="1566"/>
      <c r="D416" s="1566"/>
      <c r="E416" s="358" t="s">
        <v>348</v>
      </c>
      <c r="F416" s="359">
        <f t="shared" si="35"/>
        <v>10500</v>
      </c>
      <c r="G416" s="359">
        <v>10500</v>
      </c>
      <c r="H416" s="359"/>
      <c r="I416" s="359"/>
      <c r="J416" s="360"/>
      <c r="K416" s="353"/>
    </row>
    <row r="417" spans="1:226" s="354" customFormat="1" ht="20.100000000000001" customHeight="1">
      <c r="A417" s="1558"/>
      <c r="B417" s="1561"/>
      <c r="C417" s="1567"/>
      <c r="D417" s="1567"/>
      <c r="E417" s="361" t="s">
        <v>318</v>
      </c>
      <c r="F417" s="356">
        <f>SUM(F418:F419)</f>
        <v>0</v>
      </c>
      <c r="G417" s="356">
        <f>SUM(G418:G419)</f>
        <v>0</v>
      </c>
      <c r="H417" s="356">
        <f>SUM(H418:H419)</f>
        <v>0</v>
      </c>
      <c r="I417" s="356">
        <f>SUM(I418:I419)</f>
        <v>0</v>
      </c>
      <c r="J417" s="357">
        <f>SUM(J418:J419)</f>
        <v>0</v>
      </c>
      <c r="K417" s="353"/>
    </row>
    <row r="418" spans="1:226" s="354" customFormat="1" ht="15" hidden="1" customHeight="1">
      <c r="A418" s="406"/>
      <c r="B418" s="407"/>
      <c r="C418" s="409"/>
      <c r="D418" s="409"/>
      <c r="E418" s="401" t="s">
        <v>380</v>
      </c>
      <c r="F418" s="402">
        <f>SUM(G418:J418)</f>
        <v>0</v>
      </c>
      <c r="G418" s="402"/>
      <c r="H418" s="402"/>
      <c r="I418" s="402"/>
      <c r="J418" s="403"/>
      <c r="K418" s="353"/>
    </row>
    <row r="419" spans="1:226" s="354" customFormat="1" ht="15" hidden="1" customHeight="1">
      <c r="A419" s="397"/>
      <c r="B419" s="398"/>
      <c r="C419" s="400"/>
      <c r="D419" s="400"/>
      <c r="E419" s="396">
        <v>6069</v>
      </c>
      <c r="F419" s="359">
        <f>SUM(G419:J419)</f>
        <v>0</v>
      </c>
      <c r="G419" s="359"/>
      <c r="H419" s="359"/>
      <c r="I419" s="359"/>
      <c r="J419" s="360"/>
      <c r="K419" s="353"/>
    </row>
    <row r="420" spans="1:226" s="354" customFormat="1" ht="24.95" customHeight="1">
      <c r="A420" s="1556" t="s">
        <v>452</v>
      </c>
      <c r="B420" s="1559" t="s">
        <v>453</v>
      </c>
      <c r="C420" s="1565" t="s">
        <v>4</v>
      </c>
      <c r="D420" s="1565" t="s">
        <v>3</v>
      </c>
      <c r="E420" s="350" t="s">
        <v>315</v>
      </c>
      <c r="F420" s="351">
        <f>SUM(F421,F440)</f>
        <v>483170</v>
      </c>
      <c r="G420" s="351">
        <f>SUM(G421,G440)</f>
        <v>483170</v>
      </c>
      <c r="H420" s="351">
        <f>SUM(H421,H440)</f>
        <v>0</v>
      </c>
      <c r="I420" s="351">
        <f>SUM(I421,I440)</f>
        <v>0</v>
      </c>
      <c r="J420" s="352">
        <f>SUM(J421,J440)</f>
        <v>0</v>
      </c>
      <c r="K420" s="353"/>
      <c r="L420" s="353"/>
      <c r="M420" s="353"/>
      <c r="N420" s="353"/>
      <c r="O420" s="353"/>
      <c r="P420" s="353"/>
      <c r="Q420" s="353"/>
      <c r="R420" s="353"/>
      <c r="S420" s="353"/>
      <c r="T420" s="353"/>
      <c r="U420" s="353"/>
      <c r="V420" s="353"/>
      <c r="W420" s="353"/>
      <c r="X420" s="353"/>
      <c r="Y420" s="353"/>
      <c r="Z420" s="353"/>
      <c r="AA420" s="353"/>
      <c r="AB420" s="353"/>
      <c r="AC420" s="353"/>
      <c r="AD420" s="353"/>
      <c r="AE420" s="353"/>
      <c r="AF420" s="353"/>
      <c r="AG420" s="353"/>
      <c r="AH420" s="353"/>
      <c r="AI420" s="353"/>
      <c r="AJ420" s="353"/>
      <c r="AK420" s="353"/>
      <c r="AL420" s="353"/>
      <c r="AM420" s="353"/>
      <c r="AN420" s="353"/>
      <c r="AO420" s="353"/>
      <c r="AP420" s="353"/>
      <c r="AQ420" s="353"/>
      <c r="AR420" s="353"/>
      <c r="AS420" s="353"/>
      <c r="AT420" s="353"/>
      <c r="AU420" s="353"/>
      <c r="AV420" s="353"/>
      <c r="AW420" s="353"/>
      <c r="AX420" s="353"/>
      <c r="AY420" s="353"/>
      <c r="AZ420" s="353"/>
      <c r="BA420" s="353"/>
      <c r="BB420" s="353"/>
      <c r="BC420" s="353"/>
      <c r="BD420" s="353"/>
      <c r="BE420" s="353"/>
      <c r="BF420" s="353"/>
      <c r="BG420" s="353"/>
      <c r="BH420" s="353"/>
      <c r="BI420" s="353"/>
      <c r="BJ420" s="353"/>
      <c r="BK420" s="353"/>
      <c r="BL420" s="353"/>
      <c r="BM420" s="353"/>
      <c r="BN420" s="353"/>
      <c r="BO420" s="353"/>
      <c r="BP420" s="353"/>
      <c r="BQ420" s="353"/>
      <c r="BR420" s="353"/>
      <c r="BS420" s="353"/>
      <c r="BT420" s="353"/>
      <c r="BU420" s="353"/>
      <c r="BV420" s="353"/>
      <c r="BW420" s="353"/>
      <c r="BX420" s="353"/>
      <c r="BY420" s="353"/>
      <c r="BZ420" s="353"/>
      <c r="CA420" s="353"/>
      <c r="CB420" s="353"/>
      <c r="CC420" s="353"/>
      <c r="CD420" s="353"/>
      <c r="CE420" s="353"/>
      <c r="CF420" s="353"/>
      <c r="CG420" s="353"/>
      <c r="CH420" s="353"/>
      <c r="CI420" s="353"/>
      <c r="CJ420" s="353"/>
      <c r="CK420" s="353"/>
      <c r="CL420" s="353"/>
      <c r="CM420" s="353"/>
      <c r="CN420" s="353"/>
      <c r="CO420" s="353"/>
      <c r="CP420" s="353"/>
      <c r="CQ420" s="353"/>
      <c r="CR420" s="353"/>
      <c r="CS420" s="353"/>
      <c r="CT420" s="353"/>
      <c r="CU420" s="353"/>
      <c r="CV420" s="353"/>
      <c r="CW420" s="353"/>
      <c r="CX420" s="353"/>
      <c r="CY420" s="353"/>
      <c r="CZ420" s="353"/>
      <c r="DA420" s="353"/>
      <c r="DB420" s="353"/>
      <c r="DC420" s="353"/>
      <c r="DD420" s="353"/>
      <c r="DE420" s="353"/>
      <c r="DF420" s="353"/>
      <c r="DG420" s="353"/>
      <c r="DH420" s="353"/>
      <c r="DI420" s="353"/>
      <c r="DJ420" s="353"/>
      <c r="DK420" s="353"/>
      <c r="DL420" s="353"/>
      <c r="DM420" s="353"/>
      <c r="DN420" s="353"/>
      <c r="DO420" s="353"/>
      <c r="DP420" s="353"/>
      <c r="DQ420" s="353"/>
      <c r="DR420" s="353"/>
      <c r="DS420" s="353"/>
      <c r="DT420" s="353"/>
      <c r="DU420" s="353"/>
      <c r="DV420" s="353"/>
      <c r="DW420" s="353"/>
      <c r="DX420" s="353"/>
      <c r="DY420" s="353"/>
      <c r="DZ420" s="353"/>
      <c r="EA420" s="353"/>
      <c r="EB420" s="353"/>
      <c r="EC420" s="353"/>
      <c r="ED420" s="353"/>
      <c r="EE420" s="353"/>
      <c r="EF420" s="353"/>
      <c r="EG420" s="353"/>
      <c r="EH420" s="353"/>
      <c r="EI420" s="353"/>
      <c r="EJ420" s="353"/>
      <c r="EK420" s="353"/>
      <c r="EL420" s="353"/>
      <c r="EM420" s="353"/>
      <c r="EN420" s="353"/>
      <c r="EO420" s="353"/>
      <c r="EP420" s="353"/>
      <c r="EQ420" s="353"/>
      <c r="ER420" s="353"/>
      <c r="ES420" s="353"/>
      <c r="ET420" s="353"/>
      <c r="EU420" s="353"/>
      <c r="EV420" s="353"/>
      <c r="EW420" s="353"/>
      <c r="EX420" s="353"/>
      <c r="EY420" s="353"/>
      <c r="EZ420" s="353"/>
      <c r="FA420" s="353"/>
      <c r="FB420" s="353"/>
      <c r="FC420" s="353"/>
      <c r="FD420" s="353"/>
      <c r="FE420" s="353"/>
      <c r="FF420" s="353"/>
      <c r="FG420" s="353"/>
      <c r="FH420" s="353"/>
      <c r="FI420" s="353"/>
      <c r="FJ420" s="353"/>
      <c r="FK420" s="353"/>
      <c r="FL420" s="353"/>
      <c r="FM420" s="353"/>
      <c r="FN420" s="353"/>
      <c r="FO420" s="353"/>
      <c r="FP420" s="353"/>
      <c r="FQ420" s="353"/>
      <c r="FR420" s="353"/>
      <c r="FS420" s="353"/>
      <c r="FT420" s="353"/>
      <c r="FU420" s="353"/>
      <c r="FV420" s="353"/>
      <c r="FW420" s="353"/>
      <c r="FX420" s="353"/>
      <c r="FY420" s="353"/>
      <c r="FZ420" s="353"/>
      <c r="GA420" s="353"/>
      <c r="GB420" s="353"/>
      <c r="GC420" s="353"/>
      <c r="GD420" s="353"/>
      <c r="GE420" s="353"/>
      <c r="GF420" s="353"/>
      <c r="GG420" s="353"/>
      <c r="GH420" s="353"/>
      <c r="GI420" s="353"/>
      <c r="GJ420" s="353"/>
      <c r="GK420" s="353"/>
      <c r="GL420" s="353"/>
      <c r="GM420" s="353"/>
      <c r="GN420" s="353"/>
      <c r="GO420" s="353"/>
      <c r="GP420" s="353"/>
      <c r="GQ420" s="353"/>
      <c r="GR420" s="353"/>
      <c r="GS420" s="353"/>
      <c r="GT420" s="353"/>
      <c r="GU420" s="353"/>
      <c r="GV420" s="353"/>
      <c r="GW420" s="353"/>
      <c r="GX420" s="353"/>
      <c r="GY420" s="353"/>
      <c r="GZ420" s="353"/>
      <c r="HA420" s="353"/>
      <c r="HB420" s="353"/>
      <c r="HC420" s="353"/>
      <c r="HD420" s="353"/>
      <c r="HE420" s="353"/>
      <c r="HF420" s="353"/>
      <c r="HG420" s="353"/>
      <c r="HH420" s="353"/>
      <c r="HI420" s="353"/>
      <c r="HJ420" s="353"/>
      <c r="HK420" s="353"/>
      <c r="HL420" s="353"/>
      <c r="HM420" s="353"/>
      <c r="HN420" s="353"/>
      <c r="HO420" s="353"/>
      <c r="HP420" s="353"/>
      <c r="HQ420" s="353"/>
      <c r="HR420" s="353"/>
    </row>
    <row r="421" spans="1:226" s="354" customFormat="1" ht="20.100000000000001" customHeight="1">
      <c r="A421" s="1557"/>
      <c r="B421" s="1560"/>
      <c r="C421" s="1566"/>
      <c r="D421" s="1566"/>
      <c r="E421" s="355" t="s">
        <v>332</v>
      </c>
      <c r="F421" s="356">
        <f>SUM(F422,F431)</f>
        <v>483170</v>
      </c>
      <c r="G421" s="356">
        <f>SUM(G422,G431)</f>
        <v>483170</v>
      </c>
      <c r="H421" s="356">
        <f>SUM(H422,H431)</f>
        <v>0</v>
      </c>
      <c r="I421" s="356">
        <f>SUM(I422,I431)</f>
        <v>0</v>
      </c>
      <c r="J421" s="357">
        <f>SUM(J422,J431)</f>
        <v>0</v>
      </c>
      <c r="K421" s="353"/>
    </row>
    <row r="422" spans="1:226" s="354" customFormat="1" ht="24.95" customHeight="1">
      <c r="A422" s="1557"/>
      <c r="B422" s="1560"/>
      <c r="C422" s="1566"/>
      <c r="D422" s="1566"/>
      <c r="E422" s="393" t="s">
        <v>333</v>
      </c>
      <c r="F422" s="394">
        <f>SUM(F423:F430)</f>
        <v>214819</v>
      </c>
      <c r="G422" s="394">
        <f>SUM(G423:G430)</f>
        <v>214819</v>
      </c>
      <c r="H422" s="394">
        <f>SUM(H423:H430)</f>
        <v>0</v>
      </c>
      <c r="I422" s="394">
        <f>SUM(I423:I430)</f>
        <v>0</v>
      </c>
      <c r="J422" s="395">
        <f>SUM(J423:J430)</f>
        <v>0</v>
      </c>
      <c r="K422" s="353"/>
    </row>
    <row r="423" spans="1:226" s="354" customFormat="1" ht="15" customHeight="1">
      <c r="A423" s="1557"/>
      <c r="B423" s="1560"/>
      <c r="C423" s="1566"/>
      <c r="D423" s="1566"/>
      <c r="E423" s="358" t="s">
        <v>362</v>
      </c>
      <c r="F423" s="359">
        <f t="shared" ref="F423:F430" si="36">SUM(G423:J423)</f>
        <v>81445</v>
      </c>
      <c r="G423" s="359">
        <v>81445</v>
      </c>
      <c r="H423" s="359"/>
      <c r="I423" s="359"/>
      <c r="J423" s="360"/>
      <c r="K423" s="353"/>
    </row>
    <row r="424" spans="1:226" s="354" customFormat="1" ht="15" customHeight="1">
      <c r="A424" s="1557"/>
      <c r="B424" s="1560"/>
      <c r="C424" s="1566"/>
      <c r="D424" s="1566"/>
      <c r="E424" s="358" t="s">
        <v>363</v>
      </c>
      <c r="F424" s="359">
        <f t="shared" si="36"/>
        <v>14373</v>
      </c>
      <c r="G424" s="359">
        <v>14373</v>
      </c>
      <c r="H424" s="359"/>
      <c r="I424" s="359"/>
      <c r="J424" s="360"/>
      <c r="K424" s="353"/>
    </row>
    <row r="425" spans="1:226" s="354" customFormat="1" ht="15" customHeight="1">
      <c r="A425" s="1557"/>
      <c r="B425" s="1560"/>
      <c r="C425" s="1566"/>
      <c r="D425" s="1566"/>
      <c r="E425" s="358" t="s">
        <v>334</v>
      </c>
      <c r="F425" s="359">
        <f t="shared" si="36"/>
        <v>14155</v>
      </c>
      <c r="G425" s="359">
        <v>14155</v>
      </c>
      <c r="H425" s="359"/>
      <c r="I425" s="359"/>
      <c r="J425" s="360"/>
      <c r="K425" s="353"/>
    </row>
    <row r="426" spans="1:226" s="354" customFormat="1" ht="15" customHeight="1">
      <c r="A426" s="1557"/>
      <c r="B426" s="1560"/>
      <c r="C426" s="1566"/>
      <c r="D426" s="1566"/>
      <c r="E426" s="358" t="s">
        <v>335</v>
      </c>
      <c r="F426" s="359">
        <f t="shared" si="36"/>
        <v>2498</v>
      </c>
      <c r="G426" s="359">
        <v>2498</v>
      </c>
      <c r="H426" s="359"/>
      <c r="I426" s="359"/>
      <c r="J426" s="360"/>
      <c r="K426" s="353"/>
    </row>
    <row r="427" spans="1:226" s="354" customFormat="1" ht="15" customHeight="1">
      <c r="A427" s="1557"/>
      <c r="B427" s="1560"/>
      <c r="C427" s="1566"/>
      <c r="D427" s="1566"/>
      <c r="E427" s="358" t="s">
        <v>366</v>
      </c>
      <c r="F427" s="359">
        <f t="shared" si="36"/>
        <v>1996</v>
      </c>
      <c r="G427" s="359">
        <v>1996</v>
      </c>
      <c r="H427" s="359"/>
      <c r="I427" s="359"/>
      <c r="J427" s="360"/>
      <c r="K427" s="353"/>
    </row>
    <row r="428" spans="1:226" s="354" customFormat="1" ht="15" customHeight="1">
      <c r="A428" s="1557"/>
      <c r="B428" s="1560"/>
      <c r="C428" s="1566"/>
      <c r="D428" s="1566"/>
      <c r="E428" s="358" t="s">
        <v>367</v>
      </c>
      <c r="F428" s="359">
        <f t="shared" si="36"/>
        <v>352</v>
      </c>
      <c r="G428" s="359">
        <v>352</v>
      </c>
      <c r="H428" s="359"/>
      <c r="I428" s="359"/>
      <c r="J428" s="360"/>
      <c r="K428" s="353"/>
    </row>
    <row r="429" spans="1:226" s="354" customFormat="1" ht="15" customHeight="1">
      <c r="A429" s="1557"/>
      <c r="B429" s="1560"/>
      <c r="C429" s="1566"/>
      <c r="D429" s="1566"/>
      <c r="E429" s="358" t="s">
        <v>336</v>
      </c>
      <c r="F429" s="359">
        <f t="shared" si="36"/>
        <v>85000</v>
      </c>
      <c r="G429" s="359">
        <v>85000</v>
      </c>
      <c r="H429" s="359"/>
      <c r="I429" s="359"/>
      <c r="J429" s="360"/>
      <c r="K429" s="353"/>
    </row>
    <row r="430" spans="1:226" s="354" customFormat="1" ht="15" customHeight="1">
      <c r="A430" s="1557"/>
      <c r="B430" s="1560"/>
      <c r="C430" s="1566"/>
      <c r="D430" s="1566"/>
      <c r="E430" s="358" t="s">
        <v>337</v>
      </c>
      <c r="F430" s="359">
        <f t="shared" si="36"/>
        <v>15000</v>
      </c>
      <c r="G430" s="359">
        <v>15000</v>
      </c>
      <c r="H430" s="359"/>
      <c r="I430" s="359"/>
      <c r="J430" s="360"/>
      <c r="K430" s="353"/>
    </row>
    <row r="431" spans="1:226" s="354" customFormat="1" ht="24.95" customHeight="1">
      <c r="A431" s="1557"/>
      <c r="B431" s="1560"/>
      <c r="C431" s="1566"/>
      <c r="D431" s="1566"/>
      <c r="E431" s="393" t="s">
        <v>338</v>
      </c>
      <c r="F431" s="394">
        <f>SUM(F432:F439)</f>
        <v>268351</v>
      </c>
      <c r="G431" s="394">
        <f>SUM(G432:G439)</f>
        <v>268351</v>
      </c>
      <c r="H431" s="394">
        <f>SUM(H432:H439)</f>
        <v>0</v>
      </c>
      <c r="I431" s="394">
        <f>SUM(I432:I439)</f>
        <v>0</v>
      </c>
      <c r="J431" s="395">
        <f>SUM(J432:J439)</f>
        <v>0</v>
      </c>
      <c r="K431" s="404"/>
    </row>
    <row r="432" spans="1:226" s="354" customFormat="1" ht="15" customHeight="1">
      <c r="A432" s="1557"/>
      <c r="B432" s="1560"/>
      <c r="C432" s="1566"/>
      <c r="D432" s="1566"/>
      <c r="E432" s="358" t="s">
        <v>341</v>
      </c>
      <c r="F432" s="359">
        <f t="shared" ref="F432:F439" si="37">SUM(G432:J432)</f>
        <v>225591</v>
      </c>
      <c r="G432" s="359">
        <v>225591</v>
      </c>
      <c r="H432" s="359"/>
      <c r="I432" s="359"/>
      <c r="J432" s="360"/>
      <c r="K432" s="404"/>
    </row>
    <row r="433" spans="1:226" s="354" customFormat="1" ht="15" customHeight="1">
      <c r="A433" s="1557"/>
      <c r="B433" s="1560"/>
      <c r="C433" s="1566"/>
      <c r="D433" s="1566"/>
      <c r="E433" s="358" t="s">
        <v>342</v>
      </c>
      <c r="F433" s="359">
        <f t="shared" si="37"/>
        <v>39810</v>
      </c>
      <c r="G433" s="359">
        <v>39810</v>
      </c>
      <c r="H433" s="359"/>
      <c r="I433" s="359"/>
      <c r="J433" s="360"/>
      <c r="K433" s="404"/>
    </row>
    <row r="434" spans="1:226" s="354" customFormat="1" ht="15" customHeight="1">
      <c r="A434" s="1557"/>
      <c r="B434" s="1560"/>
      <c r="C434" s="1566"/>
      <c r="D434" s="1566"/>
      <c r="E434" s="358" t="s">
        <v>343</v>
      </c>
      <c r="F434" s="359">
        <f t="shared" si="37"/>
        <v>128</v>
      </c>
      <c r="G434" s="359">
        <v>128</v>
      </c>
      <c r="H434" s="359"/>
      <c r="I434" s="359"/>
      <c r="J434" s="360"/>
      <c r="K434" s="353"/>
    </row>
    <row r="435" spans="1:226" s="354" customFormat="1" ht="15" customHeight="1">
      <c r="A435" s="1557"/>
      <c r="B435" s="1560"/>
      <c r="C435" s="1566"/>
      <c r="D435" s="1566"/>
      <c r="E435" s="358" t="s">
        <v>344</v>
      </c>
      <c r="F435" s="359">
        <f t="shared" si="37"/>
        <v>22</v>
      </c>
      <c r="G435" s="359">
        <v>22</v>
      </c>
      <c r="H435" s="359"/>
      <c r="I435" s="359"/>
      <c r="J435" s="360"/>
      <c r="K435" s="353"/>
    </row>
    <row r="436" spans="1:226" s="354" customFormat="1" ht="15" customHeight="1">
      <c r="A436" s="1557"/>
      <c r="B436" s="1560"/>
      <c r="C436" s="1566"/>
      <c r="D436" s="1566"/>
      <c r="E436" s="358" t="s">
        <v>345</v>
      </c>
      <c r="F436" s="359">
        <f t="shared" si="37"/>
        <v>680</v>
      </c>
      <c r="G436" s="359">
        <v>680</v>
      </c>
      <c r="H436" s="359"/>
      <c r="I436" s="359"/>
      <c r="J436" s="360"/>
      <c r="K436" s="353"/>
    </row>
    <row r="437" spans="1:226" s="354" customFormat="1" ht="15" customHeight="1">
      <c r="A437" s="1557"/>
      <c r="B437" s="1560"/>
      <c r="C437" s="1566"/>
      <c r="D437" s="1566"/>
      <c r="E437" s="358" t="s">
        <v>346</v>
      </c>
      <c r="F437" s="359">
        <f t="shared" si="37"/>
        <v>120</v>
      </c>
      <c r="G437" s="359">
        <v>120</v>
      </c>
      <c r="H437" s="359"/>
      <c r="I437" s="359"/>
      <c r="J437" s="360"/>
      <c r="K437" s="353"/>
    </row>
    <row r="438" spans="1:226" s="354" customFormat="1" ht="15" customHeight="1">
      <c r="A438" s="1557"/>
      <c r="B438" s="1560"/>
      <c r="C438" s="1566"/>
      <c r="D438" s="1566"/>
      <c r="E438" s="358" t="s">
        <v>347</v>
      </c>
      <c r="F438" s="359">
        <f t="shared" si="37"/>
        <v>1700</v>
      </c>
      <c r="G438" s="359">
        <v>1700</v>
      </c>
      <c r="H438" s="359"/>
      <c r="I438" s="359"/>
      <c r="J438" s="360"/>
      <c r="K438" s="353"/>
    </row>
    <row r="439" spans="1:226" s="354" customFormat="1" ht="15" customHeight="1">
      <c r="A439" s="1557"/>
      <c r="B439" s="1560"/>
      <c r="C439" s="1566"/>
      <c r="D439" s="1566"/>
      <c r="E439" s="358" t="s">
        <v>348</v>
      </c>
      <c r="F439" s="359">
        <f t="shared" si="37"/>
        <v>300</v>
      </c>
      <c r="G439" s="359">
        <v>300</v>
      </c>
      <c r="H439" s="359"/>
      <c r="I439" s="359"/>
      <c r="J439" s="360"/>
      <c r="K439" s="353"/>
    </row>
    <row r="440" spans="1:226" s="354" customFormat="1" ht="20.100000000000001" customHeight="1">
      <c r="A440" s="1558"/>
      <c r="B440" s="1561"/>
      <c r="C440" s="1567"/>
      <c r="D440" s="1567"/>
      <c r="E440" s="361" t="s">
        <v>318</v>
      </c>
      <c r="F440" s="356">
        <f>SUM(F441:F442)</f>
        <v>0</v>
      </c>
      <c r="G440" s="356">
        <f>SUM(G441:G442)</f>
        <v>0</v>
      </c>
      <c r="H440" s="356">
        <f>SUM(H441:H442)</f>
        <v>0</v>
      </c>
      <c r="I440" s="356">
        <f>SUM(I441:I442)</f>
        <v>0</v>
      </c>
      <c r="J440" s="357">
        <f>SUM(J441:J442)</f>
        <v>0</v>
      </c>
      <c r="K440" s="353"/>
    </row>
    <row r="441" spans="1:226" s="354" customFormat="1" ht="15" hidden="1" customHeight="1">
      <c r="A441" s="406"/>
      <c r="B441" s="407"/>
      <c r="C441" s="409"/>
      <c r="D441" s="409"/>
      <c r="E441" s="401" t="s">
        <v>380</v>
      </c>
      <c r="F441" s="402">
        <f>SUM(G441:J441)</f>
        <v>0</v>
      </c>
      <c r="G441" s="402"/>
      <c r="H441" s="402"/>
      <c r="I441" s="402"/>
      <c r="J441" s="403"/>
      <c r="K441" s="353"/>
    </row>
    <row r="442" spans="1:226" s="354" customFormat="1" ht="15" hidden="1" customHeight="1">
      <c r="A442" s="397"/>
      <c r="B442" s="398"/>
      <c r="C442" s="400"/>
      <c r="D442" s="400"/>
      <c r="E442" s="396">
        <v>6069</v>
      </c>
      <c r="F442" s="359">
        <f>SUM(G442:J442)</f>
        <v>0</v>
      </c>
      <c r="G442" s="359"/>
      <c r="H442" s="359"/>
      <c r="I442" s="359"/>
      <c r="J442" s="360"/>
      <c r="K442" s="353"/>
    </row>
    <row r="443" spans="1:226" s="354" customFormat="1" ht="24.95" customHeight="1">
      <c r="A443" s="1556" t="s">
        <v>454</v>
      </c>
      <c r="B443" s="1559" t="s">
        <v>455</v>
      </c>
      <c r="C443" s="1565" t="s">
        <v>4</v>
      </c>
      <c r="D443" s="1565" t="s">
        <v>456</v>
      </c>
      <c r="E443" s="350" t="s">
        <v>315</v>
      </c>
      <c r="F443" s="351">
        <f>SUM(F444,F465)</f>
        <v>91500</v>
      </c>
      <c r="G443" s="351">
        <f>SUM(G444,G465)</f>
        <v>91500</v>
      </c>
      <c r="H443" s="351">
        <f>SUM(H444,H465)</f>
        <v>0</v>
      </c>
      <c r="I443" s="351">
        <f>SUM(I444,I465)</f>
        <v>0</v>
      </c>
      <c r="J443" s="352">
        <f>SUM(J444,J465)</f>
        <v>0</v>
      </c>
      <c r="K443" s="353"/>
      <c r="L443" s="353"/>
      <c r="M443" s="353"/>
      <c r="N443" s="353"/>
      <c r="O443" s="353"/>
      <c r="P443" s="353"/>
      <c r="Q443" s="353"/>
      <c r="R443" s="353"/>
      <c r="S443" s="353"/>
      <c r="T443" s="353"/>
      <c r="U443" s="353"/>
      <c r="V443" s="353"/>
      <c r="W443" s="353"/>
      <c r="X443" s="353"/>
      <c r="Y443" s="353"/>
      <c r="Z443" s="353"/>
      <c r="AA443" s="353"/>
      <c r="AB443" s="353"/>
      <c r="AC443" s="353"/>
      <c r="AD443" s="353"/>
      <c r="AE443" s="353"/>
      <c r="AF443" s="353"/>
      <c r="AG443" s="353"/>
      <c r="AH443" s="353"/>
      <c r="AI443" s="353"/>
      <c r="AJ443" s="353"/>
      <c r="AK443" s="353"/>
      <c r="AL443" s="353"/>
      <c r="AM443" s="353"/>
      <c r="AN443" s="353"/>
      <c r="AO443" s="353"/>
      <c r="AP443" s="353"/>
      <c r="AQ443" s="353"/>
      <c r="AR443" s="353"/>
      <c r="AS443" s="353"/>
      <c r="AT443" s="353"/>
      <c r="AU443" s="353"/>
      <c r="AV443" s="353"/>
      <c r="AW443" s="353"/>
      <c r="AX443" s="353"/>
      <c r="AY443" s="353"/>
      <c r="AZ443" s="353"/>
      <c r="BA443" s="353"/>
      <c r="BB443" s="353"/>
      <c r="BC443" s="353"/>
      <c r="BD443" s="353"/>
      <c r="BE443" s="353"/>
      <c r="BF443" s="353"/>
      <c r="BG443" s="353"/>
      <c r="BH443" s="353"/>
      <c r="BI443" s="353"/>
      <c r="BJ443" s="353"/>
      <c r="BK443" s="353"/>
      <c r="BL443" s="353"/>
      <c r="BM443" s="353"/>
      <c r="BN443" s="353"/>
      <c r="BO443" s="353"/>
      <c r="BP443" s="353"/>
      <c r="BQ443" s="353"/>
      <c r="BR443" s="353"/>
      <c r="BS443" s="353"/>
      <c r="BT443" s="353"/>
      <c r="BU443" s="353"/>
      <c r="BV443" s="353"/>
      <c r="BW443" s="353"/>
      <c r="BX443" s="353"/>
      <c r="BY443" s="353"/>
      <c r="BZ443" s="353"/>
      <c r="CA443" s="353"/>
      <c r="CB443" s="353"/>
      <c r="CC443" s="353"/>
      <c r="CD443" s="353"/>
      <c r="CE443" s="353"/>
      <c r="CF443" s="353"/>
      <c r="CG443" s="353"/>
      <c r="CH443" s="353"/>
      <c r="CI443" s="353"/>
      <c r="CJ443" s="353"/>
      <c r="CK443" s="353"/>
      <c r="CL443" s="353"/>
      <c r="CM443" s="353"/>
      <c r="CN443" s="353"/>
      <c r="CO443" s="353"/>
      <c r="CP443" s="353"/>
      <c r="CQ443" s="353"/>
      <c r="CR443" s="353"/>
      <c r="CS443" s="353"/>
      <c r="CT443" s="353"/>
      <c r="CU443" s="353"/>
      <c r="CV443" s="353"/>
      <c r="CW443" s="353"/>
      <c r="CX443" s="353"/>
      <c r="CY443" s="353"/>
      <c r="CZ443" s="353"/>
      <c r="DA443" s="353"/>
      <c r="DB443" s="353"/>
      <c r="DC443" s="353"/>
      <c r="DD443" s="353"/>
      <c r="DE443" s="353"/>
      <c r="DF443" s="353"/>
      <c r="DG443" s="353"/>
      <c r="DH443" s="353"/>
      <c r="DI443" s="353"/>
      <c r="DJ443" s="353"/>
      <c r="DK443" s="353"/>
      <c r="DL443" s="353"/>
      <c r="DM443" s="353"/>
      <c r="DN443" s="353"/>
      <c r="DO443" s="353"/>
      <c r="DP443" s="353"/>
      <c r="DQ443" s="353"/>
      <c r="DR443" s="353"/>
      <c r="DS443" s="353"/>
      <c r="DT443" s="353"/>
      <c r="DU443" s="353"/>
      <c r="DV443" s="353"/>
      <c r="DW443" s="353"/>
      <c r="DX443" s="353"/>
      <c r="DY443" s="353"/>
      <c r="DZ443" s="353"/>
      <c r="EA443" s="353"/>
      <c r="EB443" s="353"/>
      <c r="EC443" s="353"/>
      <c r="ED443" s="353"/>
      <c r="EE443" s="353"/>
      <c r="EF443" s="353"/>
      <c r="EG443" s="353"/>
      <c r="EH443" s="353"/>
      <c r="EI443" s="353"/>
      <c r="EJ443" s="353"/>
      <c r="EK443" s="353"/>
      <c r="EL443" s="353"/>
      <c r="EM443" s="353"/>
      <c r="EN443" s="353"/>
      <c r="EO443" s="353"/>
      <c r="EP443" s="353"/>
      <c r="EQ443" s="353"/>
      <c r="ER443" s="353"/>
      <c r="ES443" s="353"/>
      <c r="ET443" s="353"/>
      <c r="EU443" s="353"/>
      <c r="EV443" s="353"/>
      <c r="EW443" s="353"/>
      <c r="EX443" s="353"/>
      <c r="EY443" s="353"/>
      <c r="EZ443" s="353"/>
      <c r="FA443" s="353"/>
      <c r="FB443" s="353"/>
      <c r="FC443" s="353"/>
      <c r="FD443" s="353"/>
      <c r="FE443" s="353"/>
      <c r="FF443" s="353"/>
      <c r="FG443" s="353"/>
      <c r="FH443" s="353"/>
      <c r="FI443" s="353"/>
      <c r="FJ443" s="353"/>
      <c r="FK443" s="353"/>
      <c r="FL443" s="353"/>
      <c r="FM443" s="353"/>
      <c r="FN443" s="353"/>
      <c r="FO443" s="353"/>
      <c r="FP443" s="353"/>
      <c r="FQ443" s="353"/>
      <c r="FR443" s="353"/>
      <c r="FS443" s="353"/>
      <c r="FT443" s="353"/>
      <c r="FU443" s="353"/>
      <c r="FV443" s="353"/>
      <c r="FW443" s="353"/>
      <c r="FX443" s="353"/>
      <c r="FY443" s="353"/>
      <c r="FZ443" s="353"/>
      <c r="GA443" s="353"/>
      <c r="GB443" s="353"/>
      <c r="GC443" s="353"/>
      <c r="GD443" s="353"/>
      <c r="GE443" s="353"/>
      <c r="GF443" s="353"/>
      <c r="GG443" s="353"/>
      <c r="GH443" s="353"/>
      <c r="GI443" s="353"/>
      <c r="GJ443" s="353"/>
      <c r="GK443" s="353"/>
      <c r="GL443" s="353"/>
      <c r="GM443" s="353"/>
      <c r="GN443" s="353"/>
      <c r="GO443" s="353"/>
      <c r="GP443" s="353"/>
      <c r="GQ443" s="353"/>
      <c r="GR443" s="353"/>
      <c r="GS443" s="353"/>
      <c r="GT443" s="353"/>
      <c r="GU443" s="353"/>
      <c r="GV443" s="353"/>
      <c r="GW443" s="353"/>
      <c r="GX443" s="353"/>
      <c r="GY443" s="353"/>
      <c r="GZ443" s="353"/>
      <c r="HA443" s="353"/>
      <c r="HB443" s="353"/>
      <c r="HC443" s="353"/>
      <c r="HD443" s="353"/>
      <c r="HE443" s="353"/>
      <c r="HF443" s="353"/>
      <c r="HG443" s="353"/>
      <c r="HH443" s="353"/>
      <c r="HI443" s="353"/>
      <c r="HJ443" s="353"/>
      <c r="HK443" s="353"/>
      <c r="HL443" s="353"/>
      <c r="HM443" s="353"/>
      <c r="HN443" s="353"/>
      <c r="HO443" s="353"/>
      <c r="HP443" s="353"/>
      <c r="HQ443" s="353"/>
      <c r="HR443" s="353"/>
    </row>
    <row r="444" spans="1:226" s="354" customFormat="1" ht="20.100000000000001" customHeight="1">
      <c r="A444" s="1557"/>
      <c r="B444" s="1560"/>
      <c r="C444" s="1566"/>
      <c r="D444" s="1566"/>
      <c r="E444" s="355" t="s">
        <v>332</v>
      </c>
      <c r="F444" s="356">
        <f>SUM(F445,F454)</f>
        <v>91500</v>
      </c>
      <c r="G444" s="356">
        <f>SUM(G445,G454)</f>
        <v>91500</v>
      </c>
      <c r="H444" s="356">
        <f>SUM(H445,H454)</f>
        <v>0</v>
      </c>
      <c r="I444" s="356">
        <f>SUM(I445,I454)</f>
        <v>0</v>
      </c>
      <c r="J444" s="357">
        <f>SUM(J445,J454)</f>
        <v>0</v>
      </c>
      <c r="K444" s="353"/>
    </row>
    <row r="445" spans="1:226" s="354" customFormat="1" ht="24.95" customHeight="1">
      <c r="A445" s="1557"/>
      <c r="B445" s="1560"/>
      <c r="C445" s="1566"/>
      <c r="D445" s="1566"/>
      <c r="E445" s="393" t="s">
        <v>333</v>
      </c>
      <c r="F445" s="394">
        <f>SUM(F446:F453)</f>
        <v>45500</v>
      </c>
      <c r="G445" s="394">
        <f>SUM(G446:G453)</f>
        <v>45500</v>
      </c>
      <c r="H445" s="394">
        <f>SUM(H446:H453)</f>
        <v>0</v>
      </c>
      <c r="I445" s="394">
        <f>SUM(I446:I453)</f>
        <v>0</v>
      </c>
      <c r="J445" s="395">
        <f>SUM(J446:J453)</f>
        <v>0</v>
      </c>
      <c r="K445" s="353"/>
    </row>
    <row r="446" spans="1:226" s="354" customFormat="1" ht="15" customHeight="1">
      <c r="A446" s="1557"/>
      <c r="B446" s="1560"/>
      <c r="C446" s="1566"/>
      <c r="D446" s="1566"/>
      <c r="E446" s="358" t="s">
        <v>362</v>
      </c>
      <c r="F446" s="359">
        <f t="shared" ref="F446:F453" si="38">SUM(G446:J446)</f>
        <v>32275</v>
      </c>
      <c r="G446" s="359">
        <v>32275</v>
      </c>
      <c r="H446" s="359"/>
      <c r="I446" s="359"/>
      <c r="J446" s="360"/>
      <c r="K446" s="353"/>
    </row>
    <row r="447" spans="1:226" s="354" customFormat="1" ht="15" customHeight="1">
      <c r="A447" s="1557"/>
      <c r="B447" s="1560"/>
      <c r="C447" s="1566"/>
      <c r="D447" s="1566"/>
      <c r="E447" s="358" t="s">
        <v>363</v>
      </c>
      <c r="F447" s="359">
        <f t="shared" si="38"/>
        <v>5696</v>
      </c>
      <c r="G447" s="359">
        <v>5696</v>
      </c>
      <c r="H447" s="359"/>
      <c r="I447" s="359"/>
      <c r="J447" s="360"/>
      <c r="K447" s="353"/>
    </row>
    <row r="448" spans="1:226" s="354" customFormat="1" ht="15" customHeight="1">
      <c r="A448" s="1557"/>
      <c r="B448" s="1560"/>
      <c r="C448" s="1566"/>
      <c r="D448" s="1566"/>
      <c r="E448" s="358" t="s">
        <v>334</v>
      </c>
      <c r="F448" s="359">
        <f t="shared" si="38"/>
        <v>5609</v>
      </c>
      <c r="G448" s="359">
        <v>5609</v>
      </c>
      <c r="H448" s="359"/>
      <c r="I448" s="359"/>
      <c r="J448" s="360"/>
      <c r="K448" s="353"/>
    </row>
    <row r="449" spans="1:11" s="354" customFormat="1" ht="15" customHeight="1">
      <c r="A449" s="1557"/>
      <c r="B449" s="1560"/>
      <c r="C449" s="1566"/>
      <c r="D449" s="1566"/>
      <c r="E449" s="358" t="s">
        <v>335</v>
      </c>
      <c r="F449" s="359">
        <f t="shared" si="38"/>
        <v>990</v>
      </c>
      <c r="G449" s="359">
        <v>990</v>
      </c>
      <c r="H449" s="359"/>
      <c r="I449" s="359"/>
      <c r="J449" s="360"/>
      <c r="K449" s="353"/>
    </row>
    <row r="450" spans="1:11" s="354" customFormat="1" ht="15" customHeight="1">
      <c r="A450" s="1557"/>
      <c r="B450" s="1560"/>
      <c r="C450" s="1566"/>
      <c r="D450" s="1566"/>
      <c r="E450" s="358" t="s">
        <v>366</v>
      </c>
      <c r="F450" s="359">
        <f t="shared" si="38"/>
        <v>791</v>
      </c>
      <c r="G450" s="359">
        <v>791</v>
      </c>
      <c r="H450" s="359"/>
      <c r="I450" s="359"/>
      <c r="J450" s="360"/>
      <c r="K450" s="353"/>
    </row>
    <row r="451" spans="1:11" s="354" customFormat="1" ht="15" customHeight="1">
      <c r="A451" s="1557"/>
      <c r="B451" s="1560"/>
      <c r="C451" s="1566"/>
      <c r="D451" s="1566"/>
      <c r="E451" s="358" t="s">
        <v>367</v>
      </c>
      <c r="F451" s="359">
        <f t="shared" si="38"/>
        <v>139</v>
      </c>
      <c r="G451" s="359">
        <v>139</v>
      </c>
      <c r="H451" s="359"/>
      <c r="I451" s="359"/>
      <c r="J451" s="360"/>
      <c r="K451" s="353"/>
    </row>
    <row r="452" spans="1:11" s="354" customFormat="1" ht="15" hidden="1" customHeight="1">
      <c r="A452" s="1557"/>
      <c r="B452" s="1560"/>
      <c r="C452" s="1566"/>
      <c r="D452" s="1566"/>
      <c r="E452" s="358" t="s">
        <v>336</v>
      </c>
      <c r="F452" s="359">
        <f t="shared" si="38"/>
        <v>0</v>
      </c>
      <c r="G452" s="359"/>
      <c r="H452" s="359"/>
      <c r="I452" s="359"/>
      <c r="J452" s="360"/>
      <c r="K452" s="353"/>
    </row>
    <row r="453" spans="1:11" s="354" customFormat="1" ht="15" hidden="1" customHeight="1">
      <c r="A453" s="1557"/>
      <c r="B453" s="1560"/>
      <c r="C453" s="1566"/>
      <c r="D453" s="1566"/>
      <c r="E453" s="358" t="s">
        <v>337</v>
      </c>
      <c r="F453" s="359">
        <f t="shared" si="38"/>
        <v>0</v>
      </c>
      <c r="G453" s="359"/>
      <c r="H453" s="359"/>
      <c r="I453" s="359"/>
      <c r="J453" s="360"/>
      <c r="K453" s="353"/>
    </row>
    <row r="454" spans="1:11" s="354" customFormat="1" ht="24.95" customHeight="1">
      <c r="A454" s="1557"/>
      <c r="B454" s="1560"/>
      <c r="C454" s="1566"/>
      <c r="D454" s="1566"/>
      <c r="E454" s="393" t="s">
        <v>338</v>
      </c>
      <c r="F454" s="394">
        <f>SUM(F455:F464)</f>
        <v>46000</v>
      </c>
      <c r="G454" s="394">
        <f>SUM(G455:G464)</f>
        <v>46000</v>
      </c>
      <c r="H454" s="394">
        <f>SUM(H455:H464)</f>
        <v>0</v>
      </c>
      <c r="I454" s="394">
        <f>SUM(I455:I464)</f>
        <v>0</v>
      </c>
      <c r="J454" s="395">
        <f>SUM(J455:J464)</f>
        <v>0</v>
      </c>
      <c r="K454" s="353"/>
    </row>
    <row r="455" spans="1:11" s="354" customFormat="1" ht="15" hidden="1" customHeight="1">
      <c r="A455" s="1557"/>
      <c r="B455" s="1560"/>
      <c r="C455" s="1566"/>
      <c r="D455" s="1566"/>
      <c r="E455" s="358" t="s">
        <v>339</v>
      </c>
      <c r="F455" s="359">
        <f t="shared" ref="F455:F464" si="39">SUM(G455:J455)</f>
        <v>0</v>
      </c>
      <c r="G455" s="359"/>
      <c r="H455" s="359"/>
      <c r="I455" s="359"/>
      <c r="J455" s="360"/>
      <c r="K455" s="353"/>
    </row>
    <row r="456" spans="1:11" s="354" customFormat="1" ht="15" hidden="1" customHeight="1">
      <c r="A456" s="1557"/>
      <c r="B456" s="1560"/>
      <c r="C456" s="1566"/>
      <c r="D456" s="1566"/>
      <c r="E456" s="358" t="s">
        <v>340</v>
      </c>
      <c r="F456" s="359">
        <f t="shared" si="39"/>
        <v>0</v>
      </c>
      <c r="G456" s="359"/>
      <c r="H456" s="359"/>
      <c r="I456" s="359"/>
      <c r="J456" s="360"/>
      <c r="K456" s="353"/>
    </row>
    <row r="457" spans="1:11" s="354" customFormat="1" ht="15" customHeight="1">
      <c r="A457" s="1557"/>
      <c r="B457" s="1560"/>
      <c r="C457" s="1566"/>
      <c r="D457" s="1566"/>
      <c r="E457" s="358" t="s">
        <v>341</v>
      </c>
      <c r="F457" s="359">
        <f t="shared" si="39"/>
        <v>31025</v>
      </c>
      <c r="G457" s="359">
        <v>31025</v>
      </c>
      <c r="H457" s="359"/>
      <c r="I457" s="359"/>
      <c r="J457" s="360"/>
      <c r="K457" s="353"/>
    </row>
    <row r="458" spans="1:11" s="354" customFormat="1" ht="15" customHeight="1">
      <c r="A458" s="1557"/>
      <c r="B458" s="1560"/>
      <c r="C458" s="1566"/>
      <c r="D458" s="1566"/>
      <c r="E458" s="358" t="s">
        <v>342</v>
      </c>
      <c r="F458" s="359">
        <f t="shared" si="39"/>
        <v>5475</v>
      </c>
      <c r="G458" s="359">
        <v>5475</v>
      </c>
      <c r="H458" s="359"/>
      <c r="I458" s="359"/>
      <c r="J458" s="360"/>
      <c r="K458" s="353"/>
    </row>
    <row r="459" spans="1:11" s="354" customFormat="1" ht="15" customHeight="1">
      <c r="A459" s="1557"/>
      <c r="B459" s="1560"/>
      <c r="C459" s="1566"/>
      <c r="D459" s="1566"/>
      <c r="E459" s="358" t="s">
        <v>343</v>
      </c>
      <c r="F459" s="359">
        <f t="shared" si="39"/>
        <v>2550</v>
      </c>
      <c r="G459" s="359">
        <v>2550</v>
      </c>
      <c r="H459" s="359"/>
      <c r="I459" s="359"/>
      <c r="J459" s="360"/>
      <c r="K459" s="353"/>
    </row>
    <row r="460" spans="1:11" s="354" customFormat="1" ht="15" customHeight="1">
      <c r="A460" s="1557"/>
      <c r="B460" s="1560"/>
      <c r="C460" s="1566"/>
      <c r="D460" s="1566"/>
      <c r="E460" s="358" t="s">
        <v>344</v>
      </c>
      <c r="F460" s="359">
        <f t="shared" si="39"/>
        <v>450</v>
      </c>
      <c r="G460" s="359">
        <v>450</v>
      </c>
      <c r="H460" s="359"/>
      <c r="I460" s="359"/>
      <c r="J460" s="360"/>
      <c r="K460" s="353"/>
    </row>
    <row r="461" spans="1:11" s="354" customFormat="1" ht="15" customHeight="1">
      <c r="A461" s="1557"/>
      <c r="B461" s="1560"/>
      <c r="C461" s="1566"/>
      <c r="D461" s="1566"/>
      <c r="E461" s="358" t="s">
        <v>345</v>
      </c>
      <c r="F461" s="359">
        <f t="shared" si="39"/>
        <v>3400</v>
      </c>
      <c r="G461" s="359">
        <v>3400</v>
      </c>
      <c r="H461" s="359"/>
      <c r="I461" s="359"/>
      <c r="J461" s="360"/>
      <c r="K461" s="353"/>
    </row>
    <row r="462" spans="1:11" s="354" customFormat="1" ht="15" customHeight="1">
      <c r="A462" s="1557"/>
      <c r="B462" s="1560"/>
      <c r="C462" s="1566"/>
      <c r="D462" s="1566"/>
      <c r="E462" s="358" t="s">
        <v>346</v>
      </c>
      <c r="F462" s="359">
        <f t="shared" si="39"/>
        <v>600</v>
      </c>
      <c r="G462" s="359">
        <v>600</v>
      </c>
      <c r="H462" s="359"/>
      <c r="I462" s="359"/>
      <c r="J462" s="360"/>
      <c r="K462" s="353"/>
    </row>
    <row r="463" spans="1:11" s="354" customFormat="1" ht="15" customHeight="1">
      <c r="A463" s="1557"/>
      <c r="B463" s="1560"/>
      <c r="C463" s="1566"/>
      <c r="D463" s="1566"/>
      <c r="E463" s="358" t="s">
        <v>347</v>
      </c>
      <c r="F463" s="359">
        <f t="shared" si="39"/>
        <v>2125</v>
      </c>
      <c r="G463" s="359">
        <v>2125</v>
      </c>
      <c r="H463" s="359"/>
      <c r="I463" s="359"/>
      <c r="J463" s="360"/>
      <c r="K463" s="353"/>
    </row>
    <row r="464" spans="1:11" s="354" customFormat="1" ht="15" customHeight="1">
      <c r="A464" s="1557"/>
      <c r="B464" s="1560"/>
      <c r="C464" s="1566"/>
      <c r="D464" s="1566"/>
      <c r="E464" s="358" t="s">
        <v>348</v>
      </c>
      <c r="F464" s="359">
        <f t="shared" si="39"/>
        <v>375</v>
      </c>
      <c r="G464" s="359">
        <v>375</v>
      </c>
      <c r="H464" s="359"/>
      <c r="I464" s="359"/>
      <c r="J464" s="360"/>
      <c r="K464" s="353"/>
    </row>
    <row r="465" spans="1:11" s="354" customFormat="1" ht="20.100000000000001" customHeight="1">
      <c r="A465" s="1558"/>
      <c r="B465" s="1561"/>
      <c r="C465" s="1567"/>
      <c r="D465" s="1567"/>
      <c r="E465" s="361" t="s">
        <v>318</v>
      </c>
      <c r="F465" s="356">
        <f>SUM(F466:F467)</f>
        <v>0</v>
      </c>
      <c r="G465" s="356">
        <f>SUM(G466:G467)</f>
        <v>0</v>
      </c>
      <c r="H465" s="356">
        <f>SUM(H466:H467)</f>
        <v>0</v>
      </c>
      <c r="I465" s="356">
        <f>SUM(I466:I467)</f>
        <v>0</v>
      </c>
      <c r="J465" s="357">
        <f>SUM(J466:J467)</f>
        <v>0</v>
      </c>
      <c r="K465" s="353"/>
    </row>
    <row r="466" spans="1:11" s="354" customFormat="1" ht="15" hidden="1" customHeight="1">
      <c r="A466" s="406"/>
      <c r="B466" s="407"/>
      <c r="C466" s="409"/>
      <c r="D466" s="409"/>
      <c r="E466" s="401" t="s">
        <v>380</v>
      </c>
      <c r="F466" s="402">
        <f>SUM(G466:J466)</f>
        <v>0</v>
      </c>
      <c r="G466" s="402"/>
      <c r="H466" s="402"/>
      <c r="I466" s="402"/>
      <c r="J466" s="403"/>
      <c r="K466" s="353"/>
    </row>
    <row r="467" spans="1:11" s="354" customFormat="1" ht="15" hidden="1" customHeight="1">
      <c r="A467" s="397"/>
      <c r="B467" s="398"/>
      <c r="C467" s="400"/>
      <c r="D467" s="400"/>
      <c r="E467" s="396">
        <v>6069</v>
      </c>
      <c r="F467" s="359">
        <f>SUM(G467:J467)</f>
        <v>0</v>
      </c>
      <c r="G467" s="359"/>
      <c r="H467" s="359"/>
      <c r="I467" s="359"/>
      <c r="J467" s="360"/>
      <c r="K467" s="353"/>
    </row>
    <row r="468" spans="1:11" s="354" customFormat="1" ht="24.95" customHeight="1">
      <c r="A468" s="1556" t="s">
        <v>457</v>
      </c>
      <c r="B468" s="1559" t="s">
        <v>458</v>
      </c>
      <c r="C468" s="1565" t="s">
        <v>4</v>
      </c>
      <c r="D468" s="1565" t="s">
        <v>456</v>
      </c>
      <c r="E468" s="350" t="s">
        <v>315</v>
      </c>
      <c r="F468" s="351">
        <f>SUM(F469,F496)</f>
        <v>2100000</v>
      </c>
      <c r="G468" s="351">
        <f>SUM(G469,G496)</f>
        <v>0</v>
      </c>
      <c r="H468" s="351">
        <f>SUM(H469,H496)</f>
        <v>1785000</v>
      </c>
      <c r="I468" s="351">
        <f>SUM(I469,I496)</f>
        <v>315000</v>
      </c>
      <c r="J468" s="352">
        <f>SUM(J469,J496)</f>
        <v>0</v>
      </c>
      <c r="K468" s="353"/>
    </row>
    <row r="469" spans="1:11" s="354" customFormat="1" ht="24.95" customHeight="1">
      <c r="A469" s="1557"/>
      <c r="B469" s="1560"/>
      <c r="C469" s="1566"/>
      <c r="D469" s="1566"/>
      <c r="E469" s="355" t="s">
        <v>332</v>
      </c>
      <c r="F469" s="356">
        <f>SUM(F470,F479)</f>
        <v>2100000</v>
      </c>
      <c r="G469" s="356">
        <f>SUM(G470,G479)</f>
        <v>0</v>
      </c>
      <c r="H469" s="356">
        <f>SUM(H470,H479)</f>
        <v>1785000</v>
      </c>
      <c r="I469" s="356">
        <f>SUM(I470,I479)</f>
        <v>315000</v>
      </c>
      <c r="J469" s="357">
        <f>SUM(J470,J479)</f>
        <v>0</v>
      </c>
      <c r="K469" s="353"/>
    </row>
    <row r="470" spans="1:11" s="354" customFormat="1" ht="24.95" customHeight="1">
      <c r="A470" s="1557"/>
      <c r="B470" s="1560"/>
      <c r="C470" s="1566"/>
      <c r="D470" s="1566"/>
      <c r="E470" s="393" t="s">
        <v>333</v>
      </c>
      <c r="F470" s="394">
        <f>SUM(F471:F478)</f>
        <v>1400000</v>
      </c>
      <c r="G470" s="394">
        <f>SUM(G471:G478)</f>
        <v>0</v>
      </c>
      <c r="H470" s="394">
        <f>SUM(H471:H478)</f>
        <v>1190000</v>
      </c>
      <c r="I470" s="394">
        <f>SUM(I471:I478)</f>
        <v>210000</v>
      </c>
      <c r="J470" s="395">
        <f>SUM(J471:J478)</f>
        <v>0</v>
      </c>
      <c r="K470" s="353"/>
    </row>
    <row r="471" spans="1:11" s="354" customFormat="1" ht="15" customHeight="1">
      <c r="A471" s="1557"/>
      <c r="B471" s="1560"/>
      <c r="C471" s="1566"/>
      <c r="D471" s="1566"/>
      <c r="E471" s="358" t="s">
        <v>362</v>
      </c>
      <c r="F471" s="359">
        <f t="shared" ref="F471:F478" si="40">SUM(G471:J471)</f>
        <v>910006</v>
      </c>
      <c r="G471" s="359"/>
      <c r="H471" s="359">
        <v>910006</v>
      </c>
      <c r="I471" s="359"/>
      <c r="J471" s="360"/>
      <c r="K471" s="353"/>
    </row>
    <row r="472" spans="1:11" s="354" customFormat="1" ht="15" customHeight="1">
      <c r="A472" s="1557"/>
      <c r="B472" s="1560"/>
      <c r="C472" s="1566"/>
      <c r="D472" s="1566"/>
      <c r="E472" s="358" t="s">
        <v>363</v>
      </c>
      <c r="F472" s="359">
        <f t="shared" si="40"/>
        <v>160589</v>
      </c>
      <c r="G472" s="359"/>
      <c r="H472" s="359"/>
      <c r="I472" s="359">
        <v>160589</v>
      </c>
      <c r="J472" s="360"/>
      <c r="K472" s="353"/>
    </row>
    <row r="473" spans="1:11" s="354" customFormat="1" ht="15" customHeight="1">
      <c r="A473" s="1557"/>
      <c r="B473" s="1560"/>
      <c r="C473" s="1566"/>
      <c r="D473" s="1566"/>
      <c r="E473" s="358" t="s">
        <v>364</v>
      </c>
      <c r="F473" s="359">
        <f t="shared" si="40"/>
        <v>53877</v>
      </c>
      <c r="G473" s="359"/>
      <c r="H473" s="359">
        <v>53877</v>
      </c>
      <c r="I473" s="359"/>
      <c r="J473" s="360"/>
      <c r="K473" s="353"/>
    </row>
    <row r="474" spans="1:11" s="354" customFormat="1" ht="15" customHeight="1">
      <c r="A474" s="1557"/>
      <c r="B474" s="1560"/>
      <c r="C474" s="1566"/>
      <c r="D474" s="1566"/>
      <c r="E474" s="358" t="s">
        <v>365</v>
      </c>
      <c r="F474" s="359">
        <f t="shared" si="40"/>
        <v>9508</v>
      </c>
      <c r="G474" s="359"/>
      <c r="H474" s="359"/>
      <c r="I474" s="359">
        <v>9508</v>
      </c>
      <c r="J474" s="360"/>
      <c r="K474" s="353"/>
    </row>
    <row r="475" spans="1:11" s="354" customFormat="1" ht="15" customHeight="1">
      <c r="A475" s="1557"/>
      <c r="B475" s="1560"/>
      <c r="C475" s="1566"/>
      <c r="D475" s="1566"/>
      <c r="E475" s="358" t="s">
        <v>334</v>
      </c>
      <c r="F475" s="359">
        <f t="shared" si="40"/>
        <v>173910</v>
      </c>
      <c r="G475" s="359"/>
      <c r="H475" s="359">
        <v>173910</v>
      </c>
      <c r="I475" s="359"/>
      <c r="J475" s="360"/>
      <c r="K475" s="353"/>
    </row>
    <row r="476" spans="1:11" s="354" customFormat="1" ht="15" customHeight="1">
      <c r="A476" s="1557"/>
      <c r="B476" s="1560"/>
      <c r="C476" s="1566"/>
      <c r="D476" s="1566"/>
      <c r="E476" s="358" t="s">
        <v>335</v>
      </c>
      <c r="F476" s="359">
        <f t="shared" si="40"/>
        <v>30690</v>
      </c>
      <c r="G476" s="359"/>
      <c r="H476" s="359"/>
      <c r="I476" s="359">
        <v>30690</v>
      </c>
      <c r="J476" s="360"/>
      <c r="K476" s="353"/>
    </row>
    <row r="477" spans="1:11" s="354" customFormat="1" ht="15" customHeight="1">
      <c r="A477" s="1557"/>
      <c r="B477" s="1560"/>
      <c r="C477" s="1566"/>
      <c r="D477" s="1566"/>
      <c r="E477" s="358" t="s">
        <v>366</v>
      </c>
      <c r="F477" s="359">
        <f t="shared" si="40"/>
        <v>52207</v>
      </c>
      <c r="G477" s="359"/>
      <c r="H477" s="359">
        <v>52207</v>
      </c>
      <c r="I477" s="359"/>
      <c r="J477" s="360"/>
      <c r="K477" s="353"/>
    </row>
    <row r="478" spans="1:11" s="354" customFormat="1" ht="15" customHeight="1">
      <c r="A478" s="1557"/>
      <c r="B478" s="1560"/>
      <c r="C478" s="1566"/>
      <c r="D478" s="1566"/>
      <c r="E478" s="358" t="s">
        <v>367</v>
      </c>
      <c r="F478" s="359">
        <f t="shared" si="40"/>
        <v>9213</v>
      </c>
      <c r="G478" s="359"/>
      <c r="H478" s="359"/>
      <c r="I478" s="359">
        <v>9213</v>
      </c>
      <c r="J478" s="360"/>
      <c r="K478" s="353"/>
    </row>
    <row r="479" spans="1:11" s="354" customFormat="1" ht="24.95" customHeight="1">
      <c r="A479" s="1557"/>
      <c r="B479" s="1560"/>
      <c r="C479" s="1566"/>
      <c r="D479" s="1566"/>
      <c r="E479" s="393" t="s">
        <v>338</v>
      </c>
      <c r="F479" s="394">
        <f>SUM(F480:F495)</f>
        <v>700000</v>
      </c>
      <c r="G479" s="394">
        <f>SUM(G480:G495)</f>
        <v>0</v>
      </c>
      <c r="H479" s="394">
        <f>SUM(H480:H495)</f>
        <v>595000</v>
      </c>
      <c r="I479" s="394">
        <f>SUM(I480:I495)</f>
        <v>105000</v>
      </c>
      <c r="J479" s="395">
        <f>SUM(J480:J495)</f>
        <v>0</v>
      </c>
      <c r="K479" s="353"/>
    </row>
    <row r="480" spans="1:11" s="354" customFormat="1" ht="15" customHeight="1">
      <c r="A480" s="1557"/>
      <c r="B480" s="1560"/>
      <c r="C480" s="1566"/>
      <c r="D480" s="1566"/>
      <c r="E480" s="358" t="s">
        <v>339</v>
      </c>
      <c r="F480" s="359">
        <f t="shared" ref="F480:F495" si="41">SUM(G480:J480)</f>
        <v>132175</v>
      </c>
      <c r="G480" s="359"/>
      <c r="H480" s="359">
        <v>132175</v>
      </c>
      <c r="I480" s="359"/>
      <c r="J480" s="360"/>
      <c r="K480" s="353"/>
    </row>
    <row r="481" spans="1:11" s="354" customFormat="1" ht="15" customHeight="1">
      <c r="A481" s="1557"/>
      <c r="B481" s="1560"/>
      <c r="C481" s="1566"/>
      <c r="D481" s="1566"/>
      <c r="E481" s="358" t="s">
        <v>340</v>
      </c>
      <c r="F481" s="359">
        <f t="shared" si="41"/>
        <v>23325</v>
      </c>
      <c r="G481" s="359"/>
      <c r="H481" s="359"/>
      <c r="I481" s="359">
        <v>23325</v>
      </c>
      <c r="J481" s="360"/>
      <c r="K481" s="353"/>
    </row>
    <row r="482" spans="1:11" s="354" customFormat="1" ht="15" customHeight="1">
      <c r="A482" s="1557"/>
      <c r="B482" s="1560"/>
      <c r="C482" s="1566"/>
      <c r="D482" s="1566"/>
      <c r="E482" s="358" t="s">
        <v>372</v>
      </c>
      <c r="F482" s="359">
        <f t="shared" si="41"/>
        <v>15300</v>
      </c>
      <c r="G482" s="359"/>
      <c r="H482" s="359">
        <v>15300</v>
      </c>
      <c r="I482" s="359"/>
      <c r="J482" s="360"/>
      <c r="K482" s="353"/>
    </row>
    <row r="483" spans="1:11" s="354" customFormat="1" ht="15" customHeight="1">
      <c r="A483" s="1557"/>
      <c r="B483" s="1560"/>
      <c r="C483" s="1566"/>
      <c r="D483" s="1566"/>
      <c r="E483" s="358" t="s">
        <v>373</v>
      </c>
      <c r="F483" s="359">
        <f t="shared" si="41"/>
        <v>2700</v>
      </c>
      <c r="G483" s="359"/>
      <c r="H483" s="359"/>
      <c r="I483" s="359">
        <v>2700</v>
      </c>
      <c r="J483" s="360"/>
      <c r="K483" s="353"/>
    </row>
    <row r="484" spans="1:11" s="354" customFormat="1" ht="15" customHeight="1">
      <c r="A484" s="1557"/>
      <c r="B484" s="1560"/>
      <c r="C484" s="1566"/>
      <c r="D484" s="1566"/>
      <c r="E484" s="358" t="s">
        <v>341</v>
      </c>
      <c r="F484" s="359">
        <f t="shared" si="41"/>
        <v>317900</v>
      </c>
      <c r="G484" s="359"/>
      <c r="H484" s="359">
        <v>317900</v>
      </c>
      <c r="I484" s="359"/>
      <c r="J484" s="360"/>
      <c r="K484" s="353"/>
    </row>
    <row r="485" spans="1:11" s="354" customFormat="1" ht="15" customHeight="1">
      <c r="A485" s="1557"/>
      <c r="B485" s="1560"/>
      <c r="C485" s="1566"/>
      <c r="D485" s="1566"/>
      <c r="E485" s="358" t="s">
        <v>342</v>
      </c>
      <c r="F485" s="359">
        <f t="shared" si="41"/>
        <v>56100</v>
      </c>
      <c r="G485" s="359"/>
      <c r="H485" s="359"/>
      <c r="I485" s="359">
        <v>56100</v>
      </c>
      <c r="J485" s="360"/>
      <c r="K485" s="353"/>
    </row>
    <row r="486" spans="1:11" s="354" customFormat="1" ht="15" customHeight="1">
      <c r="A486" s="1557"/>
      <c r="B486" s="1560"/>
      <c r="C486" s="1566"/>
      <c r="D486" s="1566"/>
      <c r="E486" s="358" t="s">
        <v>459</v>
      </c>
      <c r="F486" s="359">
        <f t="shared" si="41"/>
        <v>6800</v>
      </c>
      <c r="G486" s="359"/>
      <c r="H486" s="359">
        <v>6800</v>
      </c>
      <c r="I486" s="359"/>
      <c r="J486" s="360"/>
      <c r="K486" s="353"/>
    </row>
    <row r="487" spans="1:11" s="354" customFormat="1" ht="15" customHeight="1">
      <c r="A487" s="1557"/>
      <c r="B487" s="1560"/>
      <c r="C487" s="1566"/>
      <c r="D487" s="1566"/>
      <c r="E487" s="358" t="s">
        <v>433</v>
      </c>
      <c r="F487" s="359">
        <f t="shared" si="41"/>
        <v>1200</v>
      </c>
      <c r="G487" s="359"/>
      <c r="H487" s="359"/>
      <c r="I487" s="359">
        <v>1200</v>
      </c>
      <c r="J487" s="360"/>
      <c r="K487" s="353"/>
    </row>
    <row r="488" spans="1:11" s="354" customFormat="1" ht="15" customHeight="1">
      <c r="A488" s="1557"/>
      <c r="B488" s="1560"/>
      <c r="C488" s="1566"/>
      <c r="D488" s="1566"/>
      <c r="E488" s="358" t="s">
        <v>460</v>
      </c>
      <c r="F488" s="359">
        <f t="shared" si="41"/>
        <v>17000</v>
      </c>
      <c r="G488" s="359"/>
      <c r="H488" s="359">
        <v>17000</v>
      </c>
      <c r="I488" s="359"/>
      <c r="J488" s="360"/>
      <c r="K488" s="353"/>
    </row>
    <row r="489" spans="1:11" s="354" customFormat="1" ht="15" customHeight="1">
      <c r="A489" s="1557"/>
      <c r="B489" s="1560"/>
      <c r="C489" s="1566"/>
      <c r="D489" s="1566"/>
      <c r="E489" s="358" t="s">
        <v>461</v>
      </c>
      <c r="F489" s="359">
        <f t="shared" si="41"/>
        <v>3000</v>
      </c>
      <c r="G489" s="359"/>
      <c r="H489" s="359"/>
      <c r="I489" s="359">
        <v>3000</v>
      </c>
      <c r="J489" s="360"/>
      <c r="K489" s="353"/>
    </row>
    <row r="490" spans="1:11" s="354" customFormat="1" ht="15" customHeight="1">
      <c r="A490" s="1557"/>
      <c r="B490" s="1560"/>
      <c r="C490" s="1566"/>
      <c r="D490" s="1566"/>
      <c r="E490" s="358" t="s">
        <v>345</v>
      </c>
      <c r="F490" s="359">
        <f t="shared" si="41"/>
        <v>12750</v>
      </c>
      <c r="G490" s="359"/>
      <c r="H490" s="359">
        <v>12750</v>
      </c>
      <c r="I490" s="359"/>
      <c r="J490" s="360"/>
      <c r="K490" s="353"/>
    </row>
    <row r="491" spans="1:11" s="354" customFormat="1" ht="15" customHeight="1">
      <c r="A491" s="1557"/>
      <c r="B491" s="1560"/>
      <c r="C491" s="1566"/>
      <c r="D491" s="1566"/>
      <c r="E491" s="358" t="s">
        <v>346</v>
      </c>
      <c r="F491" s="359">
        <f t="shared" si="41"/>
        <v>2250</v>
      </c>
      <c r="G491" s="359"/>
      <c r="H491" s="359"/>
      <c r="I491" s="359">
        <v>2250</v>
      </c>
      <c r="J491" s="360"/>
      <c r="K491" s="353"/>
    </row>
    <row r="492" spans="1:11" s="354" customFormat="1" ht="15" customHeight="1">
      <c r="A492" s="1557"/>
      <c r="B492" s="1560"/>
      <c r="C492" s="1566"/>
      <c r="D492" s="1566"/>
      <c r="E492" s="358" t="s">
        <v>376</v>
      </c>
      <c r="F492" s="359">
        <f t="shared" si="41"/>
        <v>1275</v>
      </c>
      <c r="G492" s="359"/>
      <c r="H492" s="359">
        <v>1275</v>
      </c>
      <c r="I492" s="359"/>
      <c r="J492" s="360"/>
      <c r="K492" s="353"/>
    </row>
    <row r="493" spans="1:11" s="354" customFormat="1" ht="15" customHeight="1">
      <c r="A493" s="1557"/>
      <c r="B493" s="1560"/>
      <c r="C493" s="1566"/>
      <c r="D493" s="1566"/>
      <c r="E493" s="358" t="s">
        <v>377</v>
      </c>
      <c r="F493" s="359">
        <f t="shared" si="41"/>
        <v>225</v>
      </c>
      <c r="G493" s="359"/>
      <c r="H493" s="359"/>
      <c r="I493" s="359">
        <v>225</v>
      </c>
      <c r="J493" s="360"/>
      <c r="K493" s="353"/>
    </row>
    <row r="494" spans="1:11" s="354" customFormat="1" ht="15" customHeight="1">
      <c r="A494" s="1557"/>
      <c r="B494" s="1560"/>
      <c r="C494" s="1566"/>
      <c r="D494" s="1566"/>
      <c r="E494" s="358" t="s">
        <v>378</v>
      </c>
      <c r="F494" s="359">
        <f t="shared" si="41"/>
        <v>91800</v>
      </c>
      <c r="G494" s="359"/>
      <c r="H494" s="359">
        <v>91800</v>
      </c>
      <c r="I494" s="359"/>
      <c r="J494" s="360"/>
      <c r="K494" s="353"/>
    </row>
    <row r="495" spans="1:11" s="354" customFormat="1" ht="15" customHeight="1">
      <c r="A495" s="1557"/>
      <c r="B495" s="1560"/>
      <c r="C495" s="1566"/>
      <c r="D495" s="1566"/>
      <c r="E495" s="358" t="s">
        <v>379</v>
      </c>
      <c r="F495" s="359">
        <f t="shared" si="41"/>
        <v>16200</v>
      </c>
      <c r="G495" s="359"/>
      <c r="H495" s="359"/>
      <c r="I495" s="359">
        <v>16200</v>
      </c>
      <c r="J495" s="360"/>
      <c r="K495" s="353"/>
    </row>
    <row r="496" spans="1:11" s="354" customFormat="1" ht="24.95" customHeight="1">
      <c r="A496" s="1558"/>
      <c r="B496" s="1561"/>
      <c r="C496" s="1567"/>
      <c r="D496" s="1567"/>
      <c r="E496" s="361" t="s">
        <v>318</v>
      </c>
      <c r="F496" s="356">
        <f>SUM(F497:F498)</f>
        <v>0</v>
      </c>
      <c r="G496" s="356">
        <f>SUM(G497:G498)</f>
        <v>0</v>
      </c>
      <c r="H496" s="356">
        <f>SUM(H497:H498)</f>
        <v>0</v>
      </c>
      <c r="I496" s="356">
        <f>SUM(I497:I498)</f>
        <v>0</v>
      </c>
      <c r="J496" s="357">
        <f>SUM(J497:J498)</f>
        <v>0</v>
      </c>
      <c r="K496" s="353"/>
    </row>
    <row r="497" spans="1:11" s="354" customFormat="1" ht="15" hidden="1" customHeight="1">
      <c r="A497" s="406"/>
      <c r="B497" s="407"/>
      <c r="C497" s="409"/>
      <c r="D497" s="409"/>
      <c r="E497" s="401"/>
      <c r="F497" s="402">
        <f>SUM(G497:J497)</f>
        <v>0</v>
      </c>
      <c r="G497" s="402"/>
      <c r="H497" s="402"/>
      <c r="I497" s="402"/>
      <c r="J497" s="403"/>
      <c r="K497" s="353"/>
    </row>
    <row r="498" spans="1:11" s="354" customFormat="1" ht="15" hidden="1" customHeight="1">
      <c r="A498" s="397"/>
      <c r="B498" s="398"/>
      <c r="C498" s="400"/>
      <c r="D498" s="400"/>
      <c r="E498" s="396"/>
      <c r="F498" s="359">
        <f>SUM(G498:J498)</f>
        <v>0</v>
      </c>
      <c r="G498" s="359"/>
      <c r="H498" s="359"/>
      <c r="I498" s="359"/>
      <c r="J498" s="360"/>
      <c r="K498" s="353"/>
    </row>
    <row r="499" spans="1:11" s="354" customFormat="1" ht="24.95" customHeight="1">
      <c r="A499" s="1556" t="s">
        <v>462</v>
      </c>
      <c r="B499" s="1559" t="s">
        <v>463</v>
      </c>
      <c r="C499" s="1565" t="s">
        <v>4</v>
      </c>
      <c r="D499" s="1565" t="s">
        <v>456</v>
      </c>
      <c r="E499" s="350" t="s">
        <v>315</v>
      </c>
      <c r="F499" s="351">
        <f>SUM(F500,F518)</f>
        <v>2341560</v>
      </c>
      <c r="G499" s="351">
        <f>SUM(G500,G518)</f>
        <v>32540</v>
      </c>
      <c r="H499" s="351">
        <f>SUM(H500,H518)</f>
        <v>1962667</v>
      </c>
      <c r="I499" s="351">
        <f>SUM(I500,I518)</f>
        <v>346353</v>
      </c>
      <c r="J499" s="352">
        <f>SUM(J500,J518)</f>
        <v>0</v>
      </c>
      <c r="K499" s="353"/>
    </row>
    <row r="500" spans="1:11" s="354" customFormat="1" ht="24.95" customHeight="1">
      <c r="A500" s="1557"/>
      <c r="B500" s="1560"/>
      <c r="C500" s="1566"/>
      <c r="D500" s="1566"/>
      <c r="E500" s="355" t="s">
        <v>332</v>
      </c>
      <c r="F500" s="356">
        <f>SUM(F501,F504,F513)</f>
        <v>2341560</v>
      </c>
      <c r="G500" s="356">
        <f>SUM(G501,G504,G513)</f>
        <v>32540</v>
      </c>
      <c r="H500" s="356">
        <f>SUM(H501,H504,H513)</f>
        <v>1962667</v>
      </c>
      <c r="I500" s="356">
        <f>SUM(I501,I504,I513)</f>
        <v>346353</v>
      </c>
      <c r="J500" s="357">
        <f>SUM(J501,J504,J513)</f>
        <v>0</v>
      </c>
      <c r="K500" s="353"/>
    </row>
    <row r="501" spans="1:11" s="354" customFormat="1" ht="22.5">
      <c r="A501" s="1557"/>
      <c r="B501" s="1560"/>
      <c r="C501" s="1566"/>
      <c r="D501" s="1566"/>
      <c r="E501" s="393" t="s">
        <v>464</v>
      </c>
      <c r="F501" s="394">
        <f>SUM(F502:F503)</f>
        <v>2016160</v>
      </c>
      <c r="G501" s="394">
        <f t="shared" ref="G501:J501" si="42">SUM(G502:G503)</f>
        <v>0</v>
      </c>
      <c r="H501" s="394">
        <f t="shared" si="42"/>
        <v>1713736</v>
      </c>
      <c r="I501" s="394">
        <f t="shared" si="42"/>
        <v>302424</v>
      </c>
      <c r="J501" s="395">
        <f t="shared" si="42"/>
        <v>0</v>
      </c>
      <c r="K501" s="353"/>
    </row>
    <row r="502" spans="1:11" s="354" customFormat="1" ht="15" customHeight="1">
      <c r="A502" s="1557"/>
      <c r="B502" s="1560"/>
      <c r="C502" s="1566"/>
      <c r="D502" s="1566"/>
      <c r="E502" s="358" t="s">
        <v>465</v>
      </c>
      <c r="F502" s="359">
        <f t="shared" ref="F502:F503" si="43">SUM(G502:J502)</f>
        <v>1713736</v>
      </c>
      <c r="G502" s="359"/>
      <c r="H502" s="359">
        <v>1713736</v>
      </c>
      <c r="I502" s="359"/>
      <c r="J502" s="360"/>
      <c r="K502" s="353"/>
    </row>
    <row r="503" spans="1:11" s="354" customFormat="1" ht="15" customHeight="1">
      <c r="A503" s="1557"/>
      <c r="B503" s="1560"/>
      <c r="C503" s="1566"/>
      <c r="D503" s="1566"/>
      <c r="E503" s="358" t="s">
        <v>466</v>
      </c>
      <c r="F503" s="359">
        <f t="shared" si="43"/>
        <v>302424</v>
      </c>
      <c r="G503" s="359"/>
      <c r="H503" s="359"/>
      <c r="I503" s="359">
        <v>302424</v>
      </c>
      <c r="J503" s="360"/>
      <c r="K503" s="353"/>
    </row>
    <row r="504" spans="1:11" s="354" customFormat="1" ht="24.95" customHeight="1">
      <c r="A504" s="1557"/>
      <c r="B504" s="1560"/>
      <c r="C504" s="1566"/>
      <c r="D504" s="1566"/>
      <c r="E504" s="393" t="s">
        <v>333</v>
      </c>
      <c r="F504" s="394">
        <f>SUM(F505:F512)</f>
        <v>298142</v>
      </c>
      <c r="G504" s="394">
        <f>SUM(G505:G512)</f>
        <v>29814</v>
      </c>
      <c r="H504" s="394">
        <f>SUM(H505:H512)</f>
        <v>228079</v>
      </c>
      <c r="I504" s="394">
        <f>SUM(I505:I512)</f>
        <v>40249</v>
      </c>
      <c r="J504" s="395">
        <f>SUM(J505:J512)</f>
        <v>0</v>
      </c>
      <c r="K504" s="353"/>
    </row>
    <row r="505" spans="1:11" s="354" customFormat="1" ht="15" customHeight="1">
      <c r="A505" s="1557"/>
      <c r="B505" s="1560"/>
      <c r="C505" s="1566"/>
      <c r="D505" s="1566"/>
      <c r="E505" s="358" t="s">
        <v>362</v>
      </c>
      <c r="F505" s="359">
        <f t="shared" ref="F505:F512" si="44">SUM(G505:J505)</f>
        <v>190637</v>
      </c>
      <c r="G505" s="359"/>
      <c r="H505" s="359">
        <v>190637</v>
      </c>
      <c r="I505" s="359"/>
      <c r="J505" s="360"/>
      <c r="K505" s="353"/>
    </row>
    <row r="506" spans="1:11" s="354" customFormat="1" ht="15" customHeight="1">
      <c r="A506" s="1557"/>
      <c r="B506" s="1560"/>
      <c r="C506" s="1566"/>
      <c r="D506" s="1566"/>
      <c r="E506" s="358" t="s">
        <v>363</v>
      </c>
      <c r="F506" s="359">
        <f t="shared" si="44"/>
        <v>58562</v>
      </c>
      <c r="G506" s="359">
        <v>24920</v>
      </c>
      <c r="H506" s="359"/>
      <c r="I506" s="359">
        <v>33642</v>
      </c>
      <c r="J506" s="360"/>
      <c r="K506" s="353"/>
    </row>
    <row r="507" spans="1:11" s="354" customFormat="1" ht="15" customHeight="1">
      <c r="A507" s="1557"/>
      <c r="B507" s="1560"/>
      <c r="C507" s="1566"/>
      <c r="D507" s="1566"/>
      <c r="E507" s="358" t="s">
        <v>334</v>
      </c>
      <c r="F507" s="359">
        <f t="shared" si="44"/>
        <v>32772</v>
      </c>
      <c r="G507" s="359"/>
      <c r="H507" s="359">
        <v>32772</v>
      </c>
      <c r="I507" s="359"/>
      <c r="J507" s="360"/>
      <c r="K507" s="353"/>
    </row>
    <row r="508" spans="1:11" s="354" customFormat="1" ht="15" customHeight="1">
      <c r="A508" s="1557"/>
      <c r="B508" s="1560"/>
      <c r="C508" s="1566"/>
      <c r="D508" s="1566"/>
      <c r="E508" s="358" t="s">
        <v>335</v>
      </c>
      <c r="F508" s="359">
        <f t="shared" si="44"/>
        <v>10067</v>
      </c>
      <c r="G508" s="359">
        <v>4284</v>
      </c>
      <c r="H508" s="359"/>
      <c r="I508" s="359">
        <v>5783</v>
      </c>
      <c r="J508" s="360"/>
      <c r="K508" s="353"/>
    </row>
    <row r="509" spans="1:11" s="354" customFormat="1" ht="15" customHeight="1">
      <c r="A509" s="1557"/>
      <c r="B509" s="1560"/>
      <c r="C509" s="1566"/>
      <c r="D509" s="1566"/>
      <c r="E509" s="358" t="s">
        <v>366</v>
      </c>
      <c r="F509" s="359">
        <f t="shared" si="44"/>
        <v>4670</v>
      </c>
      <c r="G509" s="359"/>
      <c r="H509" s="359">
        <v>4670</v>
      </c>
      <c r="I509" s="359"/>
      <c r="J509" s="360"/>
      <c r="K509" s="353"/>
    </row>
    <row r="510" spans="1:11" s="354" customFormat="1" ht="15" customHeight="1">
      <c r="A510" s="1557"/>
      <c r="B510" s="1560"/>
      <c r="C510" s="1566"/>
      <c r="D510" s="1566"/>
      <c r="E510" s="358" t="s">
        <v>367</v>
      </c>
      <c r="F510" s="359">
        <f t="shared" si="44"/>
        <v>1434</v>
      </c>
      <c r="G510" s="359">
        <v>610</v>
      </c>
      <c r="H510" s="359"/>
      <c r="I510" s="359">
        <v>824</v>
      </c>
      <c r="J510" s="360"/>
      <c r="K510" s="353"/>
    </row>
    <row r="511" spans="1:11" s="354" customFormat="1" ht="15" hidden="1" customHeight="1">
      <c r="A511" s="1557"/>
      <c r="B511" s="1560"/>
      <c r="C511" s="1566"/>
      <c r="D511" s="1566"/>
      <c r="E511" s="358" t="s">
        <v>336</v>
      </c>
      <c r="F511" s="359">
        <f t="shared" si="44"/>
        <v>0</v>
      </c>
      <c r="G511" s="359"/>
      <c r="H511" s="359"/>
      <c r="I511" s="359"/>
      <c r="J511" s="360"/>
      <c r="K511" s="353"/>
    </row>
    <row r="512" spans="1:11" s="354" customFormat="1" ht="15" hidden="1" customHeight="1">
      <c r="A512" s="1557"/>
      <c r="B512" s="1560"/>
      <c r="C512" s="1566"/>
      <c r="D512" s="1566"/>
      <c r="E512" s="358" t="s">
        <v>337</v>
      </c>
      <c r="F512" s="359">
        <f t="shared" si="44"/>
        <v>0</v>
      </c>
      <c r="G512" s="359"/>
      <c r="H512" s="359"/>
      <c r="I512" s="359"/>
      <c r="J512" s="360"/>
      <c r="K512" s="353"/>
    </row>
    <row r="513" spans="1:226" s="354" customFormat="1" ht="24.95" customHeight="1">
      <c r="A513" s="1557"/>
      <c r="B513" s="1560"/>
      <c r="C513" s="1566"/>
      <c r="D513" s="1566"/>
      <c r="E513" s="393" t="s">
        <v>338</v>
      </c>
      <c r="F513" s="394">
        <f>SUM(F514:F517)</f>
        <v>27258</v>
      </c>
      <c r="G513" s="394">
        <f>SUM(G514:G517)</f>
        <v>2726</v>
      </c>
      <c r="H513" s="394">
        <f>SUM(H514:H517)</f>
        <v>20852</v>
      </c>
      <c r="I513" s="394">
        <f>SUM(I514:I517)</f>
        <v>3680</v>
      </c>
      <c r="J513" s="395">
        <f>SUM(J514:J517)</f>
        <v>0</v>
      </c>
      <c r="K513" s="353"/>
    </row>
    <row r="514" spans="1:226" s="354" customFormat="1" ht="15" customHeight="1">
      <c r="A514" s="1557"/>
      <c r="B514" s="1560"/>
      <c r="C514" s="1566"/>
      <c r="D514" s="1566"/>
      <c r="E514" s="358" t="s">
        <v>339</v>
      </c>
      <c r="F514" s="359">
        <f t="shared" ref="F514:F517" si="45">SUM(G514:J514)</f>
        <v>1377</v>
      </c>
      <c r="G514" s="359"/>
      <c r="H514" s="359">
        <v>1377</v>
      </c>
      <c r="I514" s="359"/>
      <c r="J514" s="360"/>
      <c r="K514" s="353"/>
    </row>
    <row r="515" spans="1:226" s="354" customFormat="1" ht="15" customHeight="1">
      <c r="A515" s="1557"/>
      <c r="B515" s="1560"/>
      <c r="C515" s="1566"/>
      <c r="D515" s="1566"/>
      <c r="E515" s="358" t="s">
        <v>340</v>
      </c>
      <c r="F515" s="359">
        <f t="shared" si="45"/>
        <v>423</v>
      </c>
      <c r="G515" s="359">
        <v>180</v>
      </c>
      <c r="H515" s="359"/>
      <c r="I515" s="359">
        <v>243</v>
      </c>
      <c r="J515" s="360"/>
      <c r="K515" s="353"/>
    </row>
    <row r="516" spans="1:226" s="354" customFormat="1" ht="15" customHeight="1">
      <c r="A516" s="1557"/>
      <c r="B516" s="1560"/>
      <c r="C516" s="1566"/>
      <c r="D516" s="1566"/>
      <c r="E516" s="358" t="s">
        <v>341</v>
      </c>
      <c r="F516" s="359">
        <f t="shared" si="45"/>
        <v>19475</v>
      </c>
      <c r="G516" s="359"/>
      <c r="H516" s="359">
        <v>19475</v>
      </c>
      <c r="I516" s="359"/>
      <c r="J516" s="360"/>
      <c r="K516" s="353"/>
    </row>
    <row r="517" spans="1:226" s="354" customFormat="1" ht="15" customHeight="1">
      <c r="A517" s="1557"/>
      <c r="B517" s="1560"/>
      <c r="C517" s="1566"/>
      <c r="D517" s="1566"/>
      <c r="E517" s="358" t="s">
        <v>342</v>
      </c>
      <c r="F517" s="359">
        <f t="shared" si="45"/>
        <v>5983</v>
      </c>
      <c r="G517" s="359">
        <v>2546</v>
      </c>
      <c r="H517" s="359"/>
      <c r="I517" s="359">
        <v>3437</v>
      </c>
      <c r="J517" s="360"/>
      <c r="K517" s="353"/>
    </row>
    <row r="518" spans="1:226" s="354" customFormat="1" ht="24.95" customHeight="1" thickBot="1">
      <c r="A518" s="1557"/>
      <c r="B518" s="1560"/>
      <c r="C518" s="1566"/>
      <c r="D518" s="1566"/>
      <c r="E518" s="361" t="s">
        <v>318</v>
      </c>
      <c r="F518" s="356">
        <f>SUM(F519:F520)</f>
        <v>0</v>
      </c>
      <c r="G518" s="356">
        <f>SUM(G519:G520)</f>
        <v>0</v>
      </c>
      <c r="H518" s="356">
        <f>SUM(H519:H520)</f>
        <v>0</v>
      </c>
      <c r="I518" s="356">
        <f>SUM(I519:I520)</f>
        <v>0</v>
      </c>
      <c r="J518" s="357">
        <f>SUM(J519:J520)</f>
        <v>0</v>
      </c>
      <c r="K518" s="353"/>
    </row>
    <row r="519" spans="1:226" s="354" customFormat="1" ht="15" hidden="1" customHeight="1">
      <c r="A519" s="1557"/>
      <c r="B519" s="1560"/>
      <c r="C519" s="1566"/>
      <c r="D519" s="1566"/>
      <c r="E519" s="358" t="s">
        <v>380</v>
      </c>
      <c r="F519" s="359">
        <f>SUM(G519:J519)</f>
        <v>0</v>
      </c>
      <c r="G519" s="359"/>
      <c r="H519" s="359"/>
      <c r="I519" s="359"/>
      <c r="J519" s="360"/>
      <c r="K519" s="353"/>
    </row>
    <row r="520" spans="1:226" s="354" customFormat="1" ht="15" hidden="1" customHeight="1" thickBot="1">
      <c r="A520" s="1557"/>
      <c r="B520" s="1560"/>
      <c r="C520" s="1566"/>
      <c r="D520" s="1566"/>
      <c r="E520" s="411">
        <v>6069</v>
      </c>
      <c r="F520" s="412">
        <f>SUM(G520:J520)</f>
        <v>0</v>
      </c>
      <c r="G520" s="412"/>
      <c r="H520" s="412"/>
      <c r="I520" s="412"/>
      <c r="J520" s="413"/>
      <c r="K520" s="353"/>
    </row>
    <row r="521" spans="1:226" s="354" customFormat="1" ht="24.95" customHeight="1" thickBot="1">
      <c r="A521" s="346" t="s">
        <v>467</v>
      </c>
      <c r="B521" s="1543" t="s">
        <v>468</v>
      </c>
      <c r="C521" s="1543"/>
      <c r="D521" s="1543"/>
      <c r="E521" s="1543"/>
      <c r="F521" s="414">
        <f>F523+F538+F553+F568+F583+F598+F613+F628+F643+F658+F673+F688+F703+F718+F733+F748+F763+F778+F793+F808+F823+F838+F853+F868+F883+F898</f>
        <v>337280539</v>
      </c>
      <c r="G521" s="414">
        <f t="shared" ref="G521:J521" si="46">G523+G538+G553+G568+G583+G598+G613+G628+G643+G658+G673+G688+G703+G718+G733+G748+G763+G778+G793+G808+G823+G838+G853+G868+G883+G898</f>
        <v>64904285</v>
      </c>
      <c r="H521" s="414">
        <f t="shared" si="46"/>
        <v>270426254</v>
      </c>
      <c r="I521" s="414">
        <f t="shared" si="46"/>
        <v>0</v>
      </c>
      <c r="J521" s="415">
        <f t="shared" si="46"/>
        <v>1950000</v>
      </c>
      <c r="K521" s="353"/>
      <c r="L521" s="353"/>
      <c r="M521" s="353"/>
      <c r="N521" s="353"/>
      <c r="O521" s="353"/>
      <c r="P521" s="353"/>
      <c r="Q521" s="353"/>
      <c r="R521" s="353"/>
      <c r="S521" s="353"/>
      <c r="T521" s="353"/>
      <c r="U521" s="353"/>
      <c r="V521" s="353"/>
      <c r="W521" s="353"/>
      <c r="X521" s="353"/>
      <c r="Y521" s="353"/>
      <c r="Z521" s="353"/>
      <c r="AA521" s="353"/>
      <c r="AB521" s="353"/>
      <c r="AC521" s="353"/>
      <c r="AD521" s="353"/>
      <c r="AE521" s="353"/>
      <c r="AF521" s="353"/>
      <c r="AG521" s="353"/>
      <c r="AH521" s="353"/>
      <c r="AI521" s="353"/>
      <c r="AJ521" s="353"/>
      <c r="AK521" s="353"/>
      <c r="AL521" s="353"/>
      <c r="AM521" s="353"/>
      <c r="AN521" s="353"/>
      <c r="AO521" s="353"/>
      <c r="AP521" s="353"/>
      <c r="AQ521" s="353"/>
      <c r="AR521" s="353"/>
      <c r="AS521" s="353"/>
      <c r="AT521" s="353"/>
      <c r="AU521" s="353"/>
      <c r="AV521" s="353"/>
      <c r="AW521" s="353"/>
      <c r="AX521" s="353"/>
      <c r="AY521" s="353"/>
      <c r="AZ521" s="353"/>
      <c r="BA521" s="353"/>
      <c r="BB521" s="353"/>
      <c r="BC521" s="353"/>
      <c r="BD521" s="353"/>
      <c r="BE521" s="353"/>
      <c r="BF521" s="353"/>
      <c r="BG521" s="353"/>
      <c r="BH521" s="353"/>
      <c r="BI521" s="353"/>
      <c r="BJ521" s="353"/>
      <c r="BK521" s="353"/>
      <c r="BL521" s="353"/>
      <c r="BM521" s="353"/>
      <c r="BN521" s="353"/>
      <c r="BO521" s="353"/>
      <c r="BP521" s="353"/>
      <c r="BQ521" s="353"/>
      <c r="BR521" s="353"/>
      <c r="BS521" s="353"/>
      <c r="BT521" s="353"/>
      <c r="BU521" s="353"/>
      <c r="BV521" s="353"/>
      <c r="BW521" s="353"/>
      <c r="BX521" s="353"/>
      <c r="BY521" s="353"/>
      <c r="BZ521" s="353"/>
      <c r="CA521" s="353"/>
      <c r="CB521" s="353"/>
      <c r="CC521" s="353"/>
      <c r="CD521" s="353"/>
      <c r="CE521" s="353"/>
      <c r="CF521" s="353"/>
      <c r="CG521" s="353"/>
      <c r="CH521" s="353"/>
      <c r="CI521" s="353"/>
      <c r="CJ521" s="353"/>
      <c r="CK521" s="353"/>
      <c r="CL521" s="353"/>
      <c r="CM521" s="353"/>
      <c r="CN521" s="353"/>
      <c r="CO521" s="353"/>
      <c r="CP521" s="353"/>
      <c r="CQ521" s="353"/>
      <c r="CR521" s="353"/>
      <c r="CS521" s="353"/>
      <c r="CT521" s="353"/>
      <c r="CU521" s="353"/>
      <c r="CV521" s="353"/>
      <c r="CW521" s="353"/>
      <c r="CX521" s="353"/>
      <c r="CY521" s="353"/>
      <c r="CZ521" s="353"/>
      <c r="DA521" s="353"/>
      <c r="DB521" s="353"/>
      <c r="DC521" s="353"/>
      <c r="DD521" s="353"/>
      <c r="DE521" s="353"/>
      <c r="DF521" s="353"/>
      <c r="DG521" s="353"/>
      <c r="DH521" s="353"/>
      <c r="DI521" s="353"/>
      <c r="DJ521" s="353"/>
      <c r="DK521" s="353"/>
      <c r="DL521" s="353"/>
      <c r="DM521" s="353"/>
      <c r="DN521" s="353"/>
      <c r="DO521" s="353"/>
      <c r="DP521" s="353"/>
      <c r="DQ521" s="353"/>
      <c r="DR521" s="353"/>
      <c r="DS521" s="353"/>
      <c r="DT521" s="353"/>
      <c r="DU521" s="353"/>
      <c r="DV521" s="353"/>
      <c r="DW521" s="353"/>
      <c r="DX521" s="353"/>
      <c r="DY521" s="353"/>
      <c r="DZ521" s="353"/>
      <c r="EA521" s="353"/>
      <c r="EB521" s="353"/>
      <c r="EC521" s="353"/>
      <c r="ED521" s="353"/>
      <c r="EE521" s="353"/>
      <c r="EF521" s="353"/>
      <c r="EG521" s="353"/>
      <c r="EH521" s="353"/>
      <c r="EI521" s="353"/>
      <c r="EJ521" s="353"/>
      <c r="EK521" s="353"/>
      <c r="EL521" s="353"/>
      <c r="EM521" s="353"/>
      <c r="EN521" s="353"/>
      <c r="EO521" s="353"/>
      <c r="EP521" s="353"/>
      <c r="EQ521" s="353"/>
      <c r="ER521" s="353"/>
      <c r="ES521" s="353"/>
      <c r="ET521" s="353"/>
      <c r="EU521" s="353"/>
      <c r="EV521" s="353"/>
      <c r="EW521" s="353"/>
      <c r="EX521" s="353"/>
      <c r="EY521" s="353"/>
      <c r="EZ521" s="353"/>
      <c r="FA521" s="353"/>
      <c r="FB521" s="353"/>
      <c r="FC521" s="353"/>
      <c r="FD521" s="353"/>
      <c r="FE521" s="353"/>
      <c r="FF521" s="353"/>
      <c r="FG521" s="353"/>
      <c r="FH521" s="353"/>
      <c r="FI521" s="353"/>
      <c r="FJ521" s="353"/>
      <c r="FK521" s="353"/>
      <c r="FL521" s="353"/>
      <c r="FM521" s="353"/>
      <c r="FN521" s="353"/>
      <c r="FO521" s="353"/>
      <c r="FP521" s="353"/>
      <c r="FQ521" s="353"/>
      <c r="FR521" s="353"/>
      <c r="FS521" s="353"/>
      <c r="FT521" s="353"/>
      <c r="FU521" s="353"/>
      <c r="FV521" s="353"/>
      <c r="FW521" s="353"/>
      <c r="FX521" s="353"/>
      <c r="FY521" s="353"/>
      <c r="FZ521" s="353"/>
      <c r="GA521" s="353"/>
      <c r="GB521" s="353"/>
      <c r="GC521" s="353"/>
      <c r="GD521" s="353"/>
      <c r="GE521" s="353"/>
      <c r="GF521" s="353"/>
      <c r="GG521" s="353"/>
      <c r="GH521" s="353"/>
      <c r="GI521" s="353"/>
      <c r="GJ521" s="353"/>
      <c r="GK521" s="353"/>
      <c r="GL521" s="353"/>
      <c r="GM521" s="353"/>
      <c r="GN521" s="353"/>
      <c r="GO521" s="353"/>
      <c r="GP521" s="353"/>
      <c r="GQ521" s="353"/>
      <c r="GR521" s="353"/>
      <c r="GS521" s="353"/>
      <c r="GT521" s="353"/>
      <c r="GU521" s="353"/>
      <c r="GV521" s="353"/>
      <c r="GW521" s="353"/>
      <c r="GX521" s="353"/>
      <c r="GY521" s="353"/>
      <c r="GZ521" s="353"/>
      <c r="HA521" s="353"/>
      <c r="HB521" s="353"/>
      <c r="HC521" s="353"/>
      <c r="HD521" s="353"/>
      <c r="HE521" s="353"/>
      <c r="HF521" s="353"/>
      <c r="HG521" s="353"/>
      <c r="HH521" s="353"/>
      <c r="HI521" s="353"/>
      <c r="HJ521" s="353"/>
      <c r="HK521" s="353"/>
      <c r="HL521" s="353"/>
      <c r="HM521" s="353"/>
      <c r="HN521" s="353"/>
      <c r="HO521" s="353"/>
      <c r="HP521" s="353"/>
      <c r="HQ521" s="353"/>
      <c r="HR521" s="353"/>
    </row>
    <row r="522" spans="1:226" s="354" customFormat="1" ht="15" customHeight="1">
      <c r="A522" s="1544"/>
      <c r="B522" s="1545"/>
      <c r="C522" s="1545"/>
      <c r="D522" s="1545"/>
      <c r="E522" s="1545"/>
      <c r="F522" s="1545"/>
      <c r="G522" s="1545"/>
      <c r="H522" s="1545"/>
      <c r="I522" s="1545"/>
      <c r="J522" s="1546"/>
      <c r="K522" s="353"/>
    </row>
    <row r="523" spans="1:226" s="354" customFormat="1" ht="24.95" customHeight="1">
      <c r="A523" s="1556" t="s">
        <v>313</v>
      </c>
      <c r="B523" s="1559" t="s">
        <v>469</v>
      </c>
      <c r="C523" s="1562">
        <v>600</v>
      </c>
      <c r="D523" s="1565" t="s">
        <v>470</v>
      </c>
      <c r="E523" s="350" t="s">
        <v>315</v>
      </c>
      <c r="F523" s="351">
        <f>SUM(F524,F531)</f>
        <v>15466667</v>
      </c>
      <c r="G523" s="351">
        <f>SUM(G524,G531)</f>
        <v>2320000</v>
      </c>
      <c r="H523" s="351">
        <f>SUM(H524,H531)</f>
        <v>13146667</v>
      </c>
      <c r="I523" s="351">
        <f>SUM(I524,I531)</f>
        <v>0</v>
      </c>
      <c r="J523" s="352">
        <f>SUM(J524,J531)</f>
        <v>0</v>
      </c>
      <c r="K523" s="353"/>
    </row>
    <row r="524" spans="1:226" s="354" customFormat="1" ht="24.95" customHeight="1">
      <c r="A524" s="1557"/>
      <c r="B524" s="1560"/>
      <c r="C524" s="1563"/>
      <c r="D524" s="1566"/>
      <c r="E524" s="355" t="s">
        <v>316</v>
      </c>
      <c r="F524" s="356">
        <f>SUM(F525,F528)</f>
        <v>0</v>
      </c>
      <c r="G524" s="356">
        <f>SUM(G525,G528)</f>
        <v>0</v>
      </c>
      <c r="H524" s="356">
        <f>SUM(H525,H528)</f>
        <v>0</v>
      </c>
      <c r="I524" s="356">
        <f>SUM(I525,I528)</f>
        <v>0</v>
      </c>
      <c r="J524" s="357">
        <f>SUM(J525,J528)</f>
        <v>0</v>
      </c>
      <c r="K524" s="353"/>
    </row>
    <row r="525" spans="1:226" s="354" customFormat="1" ht="24.95" hidden="1" customHeight="1">
      <c r="A525" s="1557"/>
      <c r="B525" s="1560"/>
      <c r="C525" s="1563"/>
      <c r="D525" s="1566"/>
      <c r="E525" s="393" t="s">
        <v>333</v>
      </c>
      <c r="F525" s="394">
        <f>SUM(F526:F527)</f>
        <v>0</v>
      </c>
      <c r="G525" s="394">
        <f>SUM(G526:G527)</f>
        <v>0</v>
      </c>
      <c r="H525" s="394">
        <f>SUM(H526:H527)</f>
        <v>0</v>
      </c>
      <c r="I525" s="394">
        <f>SUM(I526:I527)</f>
        <v>0</v>
      </c>
      <c r="J525" s="395">
        <f>SUM(J526:J527)</f>
        <v>0</v>
      </c>
      <c r="K525" s="353"/>
    </row>
    <row r="526" spans="1:226" s="354" customFormat="1" ht="15" hidden="1" customHeight="1">
      <c r="A526" s="1557"/>
      <c r="B526" s="1560"/>
      <c r="C526" s="1563"/>
      <c r="D526" s="1566"/>
      <c r="E526" s="358"/>
      <c r="F526" s="359">
        <f>SUM(G526:J526)</f>
        <v>0</v>
      </c>
      <c r="G526" s="359"/>
      <c r="H526" s="359"/>
      <c r="I526" s="359"/>
      <c r="J526" s="360"/>
      <c r="K526" s="353"/>
    </row>
    <row r="527" spans="1:226" s="354" customFormat="1" ht="15" hidden="1" customHeight="1">
      <c r="A527" s="1557"/>
      <c r="B527" s="1560"/>
      <c r="C527" s="1563"/>
      <c r="D527" s="1566"/>
      <c r="E527" s="358"/>
      <c r="F527" s="359">
        <f>SUM(G527:J527)</f>
        <v>0</v>
      </c>
      <c r="G527" s="359"/>
      <c r="H527" s="359"/>
      <c r="I527" s="359"/>
      <c r="J527" s="360"/>
      <c r="K527" s="353"/>
    </row>
    <row r="528" spans="1:226" s="354" customFormat="1" ht="24.95" hidden="1" customHeight="1">
      <c r="A528" s="1557"/>
      <c r="B528" s="1560"/>
      <c r="C528" s="1563"/>
      <c r="D528" s="1566"/>
      <c r="E528" s="393" t="s">
        <v>338</v>
      </c>
      <c r="F528" s="394">
        <f>SUM(F529:F530)</f>
        <v>0</v>
      </c>
      <c r="G528" s="394">
        <f>SUM(G529:G530)</f>
        <v>0</v>
      </c>
      <c r="H528" s="394">
        <f>SUM(H529:H530)</f>
        <v>0</v>
      </c>
      <c r="I528" s="394">
        <f>SUM(I529:I530)</f>
        <v>0</v>
      </c>
      <c r="J528" s="395">
        <f>SUM(J529:J530)</f>
        <v>0</v>
      </c>
      <c r="K528" s="353"/>
    </row>
    <row r="529" spans="1:226" s="354" customFormat="1" ht="15" hidden="1" customHeight="1">
      <c r="A529" s="1557"/>
      <c r="B529" s="1560"/>
      <c r="C529" s="1563"/>
      <c r="D529" s="1566"/>
      <c r="E529" s="358"/>
      <c r="F529" s="359">
        <f>SUM(G529:J529)</f>
        <v>0</v>
      </c>
      <c r="G529" s="359"/>
      <c r="H529" s="359"/>
      <c r="I529" s="359"/>
      <c r="J529" s="360"/>
      <c r="K529" s="353"/>
    </row>
    <row r="530" spans="1:226" s="354" customFormat="1" ht="15" hidden="1" customHeight="1">
      <c r="A530" s="1557"/>
      <c r="B530" s="1560"/>
      <c r="C530" s="1563"/>
      <c r="D530" s="1566"/>
      <c r="E530" s="358"/>
      <c r="F530" s="359">
        <f>SUM(G530:J530)</f>
        <v>0</v>
      </c>
      <c r="G530" s="359"/>
      <c r="H530" s="359"/>
      <c r="I530" s="359"/>
      <c r="J530" s="360"/>
      <c r="K530" s="353"/>
    </row>
    <row r="531" spans="1:226" s="354" customFormat="1" ht="24.95" customHeight="1">
      <c r="A531" s="1557"/>
      <c r="B531" s="1560"/>
      <c r="C531" s="1563"/>
      <c r="D531" s="1566"/>
      <c r="E531" s="361" t="s">
        <v>318</v>
      </c>
      <c r="F531" s="356">
        <f>SUM(F532:F537)</f>
        <v>15466667</v>
      </c>
      <c r="G531" s="356">
        <f>SUM(G532:G537)</f>
        <v>2320000</v>
      </c>
      <c r="H531" s="356">
        <f>SUM(H532:H537)</f>
        <v>13146667</v>
      </c>
      <c r="I531" s="356">
        <f>SUM(I532:I537)</f>
        <v>0</v>
      </c>
      <c r="J531" s="357">
        <f>SUM(J532:J537)</f>
        <v>0</v>
      </c>
      <c r="K531" s="353"/>
    </row>
    <row r="532" spans="1:226" s="353" customFormat="1" ht="15" hidden="1" customHeight="1">
      <c r="A532" s="1557"/>
      <c r="B532" s="1560"/>
      <c r="C532" s="1563"/>
      <c r="D532" s="1566"/>
      <c r="E532" s="358" t="s">
        <v>471</v>
      </c>
      <c r="F532" s="359">
        <f>SUM(G532:J532)</f>
        <v>0</v>
      </c>
      <c r="G532" s="359"/>
      <c r="H532" s="359"/>
      <c r="I532" s="359"/>
      <c r="J532" s="360"/>
    </row>
    <row r="533" spans="1:226" s="353" customFormat="1" ht="15" customHeight="1">
      <c r="A533" s="1557"/>
      <c r="B533" s="1560"/>
      <c r="C533" s="1563"/>
      <c r="D533" s="1566"/>
      <c r="E533" s="358" t="s">
        <v>414</v>
      </c>
      <c r="F533" s="359">
        <f t="shared" ref="F533:F536" si="47">SUM(G533:J533)</f>
        <v>11956667</v>
      </c>
      <c r="G533" s="359"/>
      <c r="H533" s="359">
        <v>11956667</v>
      </c>
      <c r="I533" s="359"/>
      <c r="J533" s="360"/>
    </row>
    <row r="534" spans="1:226" s="353" customFormat="1" ht="15" customHeight="1">
      <c r="A534" s="1557"/>
      <c r="B534" s="1560"/>
      <c r="C534" s="1563"/>
      <c r="D534" s="1566"/>
      <c r="E534" s="358" t="s">
        <v>472</v>
      </c>
      <c r="F534" s="359">
        <f t="shared" si="47"/>
        <v>2110000</v>
      </c>
      <c r="G534" s="359">
        <v>2110000</v>
      </c>
      <c r="H534" s="359"/>
      <c r="I534" s="359"/>
      <c r="J534" s="360"/>
    </row>
    <row r="535" spans="1:226" s="353" customFormat="1" ht="15" hidden="1" customHeight="1">
      <c r="A535" s="1557"/>
      <c r="B535" s="1560"/>
      <c r="C535" s="1563"/>
      <c r="D535" s="1566"/>
      <c r="E535" s="358" t="s">
        <v>407</v>
      </c>
      <c r="F535" s="359">
        <f t="shared" si="47"/>
        <v>0</v>
      </c>
      <c r="G535" s="359"/>
      <c r="H535" s="359"/>
      <c r="I535" s="359"/>
      <c r="J535" s="360"/>
    </row>
    <row r="536" spans="1:226" s="354" customFormat="1" ht="15" customHeight="1">
      <c r="A536" s="1557"/>
      <c r="B536" s="1560"/>
      <c r="C536" s="1563"/>
      <c r="D536" s="1566"/>
      <c r="E536" s="358" t="s">
        <v>408</v>
      </c>
      <c r="F536" s="359">
        <f t="shared" si="47"/>
        <v>1190000</v>
      </c>
      <c r="G536" s="359"/>
      <c r="H536" s="359">
        <v>1190000</v>
      </c>
      <c r="I536" s="359"/>
      <c r="J536" s="360"/>
      <c r="K536" s="353"/>
      <c r="L536" s="353"/>
      <c r="M536" s="353"/>
      <c r="N536" s="353"/>
      <c r="O536" s="353"/>
      <c r="P536" s="353"/>
      <c r="Q536" s="353"/>
      <c r="R536" s="353"/>
      <c r="S536" s="353"/>
      <c r="T536" s="353"/>
      <c r="U536" s="353"/>
      <c r="V536" s="353"/>
      <c r="W536" s="353"/>
      <c r="X536" s="353"/>
      <c r="Y536" s="353"/>
      <c r="Z536" s="353"/>
      <c r="AA536" s="353"/>
      <c r="AB536" s="353"/>
      <c r="AC536" s="353"/>
      <c r="AD536" s="353"/>
      <c r="AE536" s="353"/>
      <c r="AF536" s="353"/>
      <c r="AG536" s="353"/>
      <c r="AH536" s="353"/>
      <c r="AI536" s="353"/>
      <c r="AJ536" s="353"/>
      <c r="AK536" s="353"/>
      <c r="AL536" s="353"/>
      <c r="AM536" s="353"/>
      <c r="AN536" s="353"/>
      <c r="AO536" s="353"/>
      <c r="AP536" s="353"/>
      <c r="AQ536" s="353"/>
      <c r="AR536" s="353"/>
      <c r="AS536" s="353"/>
      <c r="AT536" s="353"/>
      <c r="AU536" s="353"/>
      <c r="AV536" s="353"/>
      <c r="AW536" s="353"/>
      <c r="AX536" s="353"/>
      <c r="AY536" s="353"/>
      <c r="AZ536" s="353"/>
      <c r="BA536" s="353"/>
      <c r="BB536" s="353"/>
      <c r="BC536" s="353"/>
      <c r="BD536" s="353"/>
      <c r="BE536" s="353"/>
      <c r="BF536" s="353"/>
      <c r="BG536" s="353"/>
      <c r="BH536" s="353"/>
      <c r="BI536" s="353"/>
      <c r="BJ536" s="353"/>
      <c r="BK536" s="353"/>
      <c r="BL536" s="353"/>
      <c r="BM536" s="353"/>
      <c r="BN536" s="353"/>
      <c r="BO536" s="353"/>
      <c r="BP536" s="353"/>
      <c r="BQ536" s="353"/>
      <c r="BR536" s="353"/>
      <c r="BS536" s="353"/>
      <c r="BT536" s="353"/>
      <c r="BU536" s="353"/>
      <c r="BV536" s="353"/>
      <c r="BW536" s="353"/>
      <c r="BX536" s="353"/>
      <c r="BY536" s="353"/>
      <c r="BZ536" s="353"/>
      <c r="CA536" s="353"/>
      <c r="CB536" s="353"/>
      <c r="CC536" s="353"/>
      <c r="CD536" s="353"/>
      <c r="CE536" s="353"/>
      <c r="CF536" s="353"/>
      <c r="CG536" s="353"/>
      <c r="CH536" s="353"/>
      <c r="CI536" s="353"/>
      <c r="CJ536" s="353"/>
      <c r="CK536" s="353"/>
      <c r="CL536" s="353"/>
      <c r="CM536" s="353"/>
      <c r="CN536" s="353"/>
      <c r="CO536" s="353"/>
      <c r="CP536" s="353"/>
      <c r="CQ536" s="353"/>
      <c r="CR536" s="353"/>
      <c r="CS536" s="353"/>
      <c r="CT536" s="353"/>
      <c r="CU536" s="353"/>
      <c r="CV536" s="353"/>
      <c r="CW536" s="353"/>
      <c r="CX536" s="353"/>
      <c r="CY536" s="353"/>
      <c r="CZ536" s="353"/>
      <c r="DA536" s="353"/>
      <c r="DB536" s="353"/>
      <c r="DC536" s="353"/>
      <c r="DD536" s="353"/>
      <c r="DE536" s="353"/>
      <c r="DF536" s="353"/>
      <c r="DG536" s="353"/>
      <c r="DH536" s="353"/>
      <c r="DI536" s="353"/>
      <c r="DJ536" s="353"/>
      <c r="DK536" s="353"/>
      <c r="DL536" s="353"/>
      <c r="DM536" s="353"/>
      <c r="DN536" s="353"/>
      <c r="DO536" s="353"/>
      <c r="DP536" s="353"/>
      <c r="DQ536" s="353"/>
      <c r="DR536" s="353"/>
      <c r="DS536" s="353"/>
      <c r="DT536" s="353"/>
      <c r="DU536" s="353"/>
      <c r="DV536" s="353"/>
      <c r="DW536" s="353"/>
      <c r="DX536" s="353"/>
      <c r="DY536" s="353"/>
      <c r="DZ536" s="353"/>
      <c r="EA536" s="353"/>
      <c r="EB536" s="353"/>
      <c r="EC536" s="353"/>
      <c r="ED536" s="353"/>
      <c r="EE536" s="353"/>
      <c r="EF536" s="353"/>
      <c r="EG536" s="353"/>
      <c r="EH536" s="353"/>
      <c r="EI536" s="353"/>
      <c r="EJ536" s="353"/>
      <c r="EK536" s="353"/>
      <c r="EL536" s="353"/>
      <c r="EM536" s="353"/>
      <c r="EN536" s="353"/>
      <c r="EO536" s="353"/>
      <c r="EP536" s="353"/>
      <c r="EQ536" s="353"/>
      <c r="ER536" s="353"/>
      <c r="ES536" s="353"/>
      <c r="ET536" s="353"/>
      <c r="EU536" s="353"/>
      <c r="EV536" s="353"/>
      <c r="EW536" s="353"/>
      <c r="EX536" s="353"/>
      <c r="EY536" s="353"/>
      <c r="EZ536" s="353"/>
      <c r="FA536" s="353"/>
      <c r="FB536" s="353"/>
      <c r="FC536" s="353"/>
      <c r="FD536" s="353"/>
      <c r="FE536" s="353"/>
      <c r="FF536" s="353"/>
      <c r="FG536" s="353"/>
      <c r="FH536" s="353"/>
      <c r="FI536" s="353"/>
      <c r="FJ536" s="353"/>
      <c r="FK536" s="353"/>
      <c r="FL536" s="353"/>
      <c r="FM536" s="353"/>
      <c r="FN536" s="353"/>
      <c r="FO536" s="353"/>
      <c r="FP536" s="353"/>
      <c r="FQ536" s="353"/>
      <c r="FR536" s="353"/>
      <c r="FS536" s="353"/>
      <c r="FT536" s="353"/>
      <c r="FU536" s="353"/>
      <c r="FV536" s="353"/>
      <c r="FW536" s="353"/>
      <c r="FX536" s="353"/>
      <c r="FY536" s="353"/>
      <c r="FZ536" s="353"/>
      <c r="GA536" s="353"/>
      <c r="GB536" s="353"/>
      <c r="GC536" s="353"/>
      <c r="GD536" s="353"/>
      <c r="GE536" s="353"/>
      <c r="GF536" s="353"/>
      <c r="GG536" s="353"/>
      <c r="GH536" s="353"/>
      <c r="GI536" s="353"/>
      <c r="GJ536" s="353"/>
      <c r="GK536" s="353"/>
      <c r="GL536" s="353"/>
      <c r="GM536" s="353"/>
      <c r="GN536" s="353"/>
      <c r="GO536" s="353"/>
      <c r="GP536" s="353"/>
      <c r="GQ536" s="353"/>
      <c r="GR536" s="353"/>
      <c r="GS536" s="353"/>
      <c r="GT536" s="353"/>
      <c r="GU536" s="353"/>
      <c r="GV536" s="353"/>
      <c r="GW536" s="353"/>
      <c r="GX536" s="353"/>
      <c r="GY536" s="353"/>
      <c r="GZ536" s="353"/>
      <c r="HA536" s="353"/>
      <c r="HB536" s="353"/>
      <c r="HC536" s="353"/>
      <c r="HD536" s="353"/>
      <c r="HE536" s="353"/>
      <c r="HF536" s="353"/>
      <c r="HG536" s="353"/>
      <c r="HH536" s="353"/>
      <c r="HI536" s="353"/>
      <c r="HJ536" s="353"/>
      <c r="HK536" s="353"/>
      <c r="HL536" s="353"/>
      <c r="HM536" s="353"/>
      <c r="HN536" s="353"/>
      <c r="HO536" s="353"/>
      <c r="HP536" s="353"/>
      <c r="HQ536" s="353"/>
      <c r="HR536" s="353"/>
    </row>
    <row r="537" spans="1:226" s="354" customFormat="1" ht="15" customHeight="1">
      <c r="A537" s="1558"/>
      <c r="B537" s="1561"/>
      <c r="C537" s="1564"/>
      <c r="D537" s="1567"/>
      <c r="E537" s="396">
        <v>6069</v>
      </c>
      <c r="F537" s="359">
        <f>SUM(G537:J537)</f>
        <v>210000</v>
      </c>
      <c r="G537" s="359">
        <v>210000</v>
      </c>
      <c r="H537" s="359"/>
      <c r="I537" s="359"/>
      <c r="J537" s="360"/>
      <c r="K537" s="353"/>
    </row>
    <row r="538" spans="1:226" s="354" customFormat="1" ht="24.95" customHeight="1">
      <c r="A538" s="1556" t="s">
        <v>327</v>
      </c>
      <c r="B538" s="1559" t="s">
        <v>473</v>
      </c>
      <c r="C538" s="1562">
        <v>600</v>
      </c>
      <c r="D538" s="1565" t="s">
        <v>470</v>
      </c>
      <c r="E538" s="350" t="s">
        <v>315</v>
      </c>
      <c r="F538" s="351">
        <f>SUM(F539,F546)</f>
        <v>14185557</v>
      </c>
      <c r="G538" s="351">
        <f>SUM(G539,G546)</f>
        <v>2127834</v>
      </c>
      <c r="H538" s="351">
        <f>SUM(H539,H546)</f>
        <v>12057723</v>
      </c>
      <c r="I538" s="351">
        <f>SUM(I539,I546)</f>
        <v>0</v>
      </c>
      <c r="J538" s="352">
        <f>SUM(J539,J546)</f>
        <v>0</v>
      </c>
      <c r="K538" s="353"/>
    </row>
    <row r="539" spans="1:226" s="354" customFormat="1" ht="24.95" customHeight="1">
      <c r="A539" s="1557"/>
      <c r="B539" s="1560"/>
      <c r="C539" s="1563"/>
      <c r="D539" s="1566"/>
      <c r="E539" s="355" t="s">
        <v>316</v>
      </c>
      <c r="F539" s="356">
        <f>SUM(F540,F543)</f>
        <v>0</v>
      </c>
      <c r="G539" s="356">
        <f>SUM(G540,G543)</f>
        <v>0</v>
      </c>
      <c r="H539" s="356">
        <f>SUM(H540,H543)</f>
        <v>0</v>
      </c>
      <c r="I539" s="356">
        <f>SUM(I540,I543)</f>
        <v>0</v>
      </c>
      <c r="J539" s="357">
        <f>SUM(J540,J543)</f>
        <v>0</v>
      </c>
      <c r="K539" s="353"/>
    </row>
    <row r="540" spans="1:226" s="354" customFormat="1" ht="24.95" hidden="1" customHeight="1">
      <c r="A540" s="1557"/>
      <c r="B540" s="1560"/>
      <c r="C540" s="1563"/>
      <c r="D540" s="1566"/>
      <c r="E540" s="393" t="s">
        <v>333</v>
      </c>
      <c r="F540" s="394">
        <f>SUM(F541:F542)</f>
        <v>0</v>
      </c>
      <c r="G540" s="394">
        <f>SUM(G541:G542)</f>
        <v>0</v>
      </c>
      <c r="H540" s="394">
        <f>SUM(H541:H542)</f>
        <v>0</v>
      </c>
      <c r="I540" s="394">
        <f>SUM(I541:I542)</f>
        <v>0</v>
      </c>
      <c r="J540" s="395">
        <f>SUM(J541:J542)</f>
        <v>0</v>
      </c>
      <c r="K540" s="353"/>
    </row>
    <row r="541" spans="1:226" s="354" customFormat="1" ht="15" hidden="1" customHeight="1">
      <c r="A541" s="1557"/>
      <c r="B541" s="1560"/>
      <c r="C541" s="1563"/>
      <c r="D541" s="1566"/>
      <c r="E541" s="358"/>
      <c r="F541" s="359">
        <f>SUM(G541:J541)</f>
        <v>0</v>
      </c>
      <c r="G541" s="359"/>
      <c r="H541" s="359"/>
      <c r="I541" s="359"/>
      <c r="J541" s="360"/>
      <c r="K541" s="353"/>
    </row>
    <row r="542" spans="1:226" s="354" customFormat="1" ht="15" hidden="1" customHeight="1">
      <c r="A542" s="1557"/>
      <c r="B542" s="1560"/>
      <c r="C542" s="1563"/>
      <c r="D542" s="1566"/>
      <c r="E542" s="358"/>
      <c r="F542" s="359">
        <f>SUM(G542:J542)</f>
        <v>0</v>
      </c>
      <c r="G542" s="359"/>
      <c r="H542" s="359"/>
      <c r="I542" s="359"/>
      <c r="J542" s="360"/>
      <c r="K542" s="353"/>
    </row>
    <row r="543" spans="1:226" s="354" customFormat="1" ht="24.95" hidden="1" customHeight="1">
      <c r="A543" s="1557"/>
      <c r="B543" s="1560"/>
      <c r="C543" s="1563"/>
      <c r="D543" s="1566"/>
      <c r="E543" s="393" t="s">
        <v>338</v>
      </c>
      <c r="F543" s="394">
        <f>SUM(F544:F545)</f>
        <v>0</v>
      </c>
      <c r="G543" s="394">
        <f>SUM(G544:G545)</f>
        <v>0</v>
      </c>
      <c r="H543" s="394">
        <f>SUM(H544:H545)</f>
        <v>0</v>
      </c>
      <c r="I543" s="394">
        <f>SUM(I544:I545)</f>
        <v>0</v>
      </c>
      <c r="J543" s="395">
        <f>SUM(J544:J545)</f>
        <v>0</v>
      </c>
      <c r="K543" s="353"/>
    </row>
    <row r="544" spans="1:226" s="354" customFormat="1" ht="15" hidden="1" customHeight="1">
      <c r="A544" s="1557"/>
      <c r="B544" s="1560"/>
      <c r="C544" s="1563"/>
      <c r="D544" s="1566"/>
      <c r="E544" s="358"/>
      <c r="F544" s="359">
        <f>SUM(G544:J544)</f>
        <v>0</v>
      </c>
      <c r="G544" s="359"/>
      <c r="H544" s="359"/>
      <c r="I544" s="359"/>
      <c r="J544" s="360"/>
      <c r="K544" s="353"/>
    </row>
    <row r="545" spans="1:226" s="354" customFormat="1" ht="15" hidden="1" customHeight="1">
      <c r="A545" s="1557"/>
      <c r="B545" s="1560"/>
      <c r="C545" s="1563"/>
      <c r="D545" s="1566"/>
      <c r="E545" s="358"/>
      <c r="F545" s="359">
        <f>SUM(G545:J545)</f>
        <v>0</v>
      </c>
      <c r="G545" s="359"/>
      <c r="H545" s="359"/>
      <c r="I545" s="359"/>
      <c r="J545" s="360"/>
      <c r="K545" s="353"/>
    </row>
    <row r="546" spans="1:226" s="354" customFormat="1" ht="24.95" customHeight="1">
      <c r="A546" s="1557"/>
      <c r="B546" s="1560"/>
      <c r="C546" s="1563"/>
      <c r="D546" s="1566"/>
      <c r="E546" s="361" t="s">
        <v>318</v>
      </c>
      <c r="F546" s="356">
        <f>SUM(F547:F552)</f>
        <v>14185557</v>
      </c>
      <c r="G546" s="356">
        <f>SUM(G547:G552)</f>
        <v>2127834</v>
      </c>
      <c r="H546" s="356">
        <f>SUM(H547:H552)</f>
        <v>12057723</v>
      </c>
      <c r="I546" s="356">
        <f>SUM(I547:I552)</f>
        <v>0</v>
      </c>
      <c r="J546" s="357">
        <f>SUM(J547:J552)</f>
        <v>0</v>
      </c>
      <c r="K546" s="353"/>
    </row>
    <row r="547" spans="1:226" s="353" customFormat="1" ht="15" hidden="1" customHeight="1">
      <c r="A547" s="1557"/>
      <c r="B547" s="1560"/>
      <c r="C547" s="1563"/>
      <c r="D547" s="1566"/>
      <c r="E547" s="358" t="s">
        <v>471</v>
      </c>
      <c r="F547" s="359">
        <f t="shared" ref="F547:F552" si="48">SUM(G547:J547)</f>
        <v>0</v>
      </c>
      <c r="G547" s="359"/>
      <c r="H547" s="359"/>
      <c r="I547" s="359"/>
      <c r="J547" s="360"/>
    </row>
    <row r="548" spans="1:226" s="354" customFormat="1" ht="15" customHeight="1">
      <c r="A548" s="1557"/>
      <c r="B548" s="1560"/>
      <c r="C548" s="1563"/>
      <c r="D548" s="1566"/>
      <c r="E548" s="358" t="s">
        <v>414</v>
      </c>
      <c r="F548" s="359">
        <f t="shared" si="48"/>
        <v>12057723</v>
      </c>
      <c r="G548" s="359"/>
      <c r="H548" s="359">
        <v>12057723</v>
      </c>
      <c r="I548" s="359"/>
      <c r="J548" s="360"/>
      <c r="K548" s="353"/>
      <c r="L548" s="353"/>
      <c r="M548" s="353"/>
      <c r="N548" s="353"/>
      <c r="O548" s="353"/>
      <c r="P548" s="353"/>
      <c r="Q548" s="353"/>
      <c r="R548" s="353"/>
      <c r="S548" s="353"/>
      <c r="T548" s="353"/>
      <c r="U548" s="353"/>
      <c r="V548" s="353"/>
      <c r="W548" s="353"/>
      <c r="X548" s="353"/>
      <c r="Y548" s="353"/>
      <c r="Z548" s="353"/>
      <c r="AA548" s="353"/>
      <c r="AB548" s="353"/>
      <c r="AC548" s="353"/>
      <c r="AD548" s="353"/>
      <c r="AE548" s="353"/>
      <c r="AF548" s="353"/>
      <c r="AG548" s="353"/>
      <c r="AH548" s="353"/>
      <c r="AI548" s="353"/>
      <c r="AJ548" s="353"/>
      <c r="AK548" s="353"/>
      <c r="AL548" s="353"/>
      <c r="AM548" s="353"/>
      <c r="AN548" s="353"/>
      <c r="AO548" s="353"/>
      <c r="AP548" s="353"/>
      <c r="AQ548" s="353"/>
      <c r="AR548" s="353"/>
      <c r="AS548" s="353"/>
      <c r="AT548" s="353"/>
      <c r="AU548" s="353"/>
      <c r="AV548" s="353"/>
      <c r="AW548" s="353"/>
      <c r="AX548" s="353"/>
      <c r="AY548" s="353"/>
      <c r="AZ548" s="353"/>
      <c r="BA548" s="353"/>
      <c r="BB548" s="353"/>
      <c r="BC548" s="353"/>
      <c r="BD548" s="353"/>
      <c r="BE548" s="353"/>
      <c r="BF548" s="353"/>
      <c r="BG548" s="353"/>
      <c r="BH548" s="353"/>
      <c r="BI548" s="353"/>
      <c r="BJ548" s="353"/>
      <c r="BK548" s="353"/>
      <c r="BL548" s="353"/>
      <c r="BM548" s="353"/>
      <c r="BN548" s="353"/>
      <c r="BO548" s="353"/>
      <c r="BP548" s="353"/>
      <c r="BQ548" s="353"/>
      <c r="BR548" s="353"/>
      <c r="BS548" s="353"/>
      <c r="BT548" s="353"/>
      <c r="BU548" s="353"/>
      <c r="BV548" s="353"/>
      <c r="BW548" s="353"/>
      <c r="BX548" s="353"/>
      <c r="BY548" s="353"/>
      <c r="BZ548" s="353"/>
      <c r="CA548" s="353"/>
      <c r="CB548" s="353"/>
      <c r="CC548" s="353"/>
      <c r="CD548" s="353"/>
      <c r="CE548" s="353"/>
      <c r="CF548" s="353"/>
      <c r="CG548" s="353"/>
      <c r="CH548" s="353"/>
      <c r="CI548" s="353"/>
      <c r="CJ548" s="353"/>
      <c r="CK548" s="353"/>
      <c r="CL548" s="353"/>
      <c r="CM548" s="353"/>
      <c r="CN548" s="353"/>
      <c r="CO548" s="353"/>
      <c r="CP548" s="353"/>
      <c r="CQ548" s="353"/>
      <c r="CR548" s="353"/>
      <c r="CS548" s="353"/>
      <c r="CT548" s="353"/>
      <c r="CU548" s="353"/>
      <c r="CV548" s="353"/>
      <c r="CW548" s="353"/>
      <c r="CX548" s="353"/>
      <c r="CY548" s="353"/>
      <c r="CZ548" s="353"/>
      <c r="DA548" s="353"/>
      <c r="DB548" s="353"/>
      <c r="DC548" s="353"/>
      <c r="DD548" s="353"/>
      <c r="DE548" s="353"/>
      <c r="DF548" s="353"/>
      <c r="DG548" s="353"/>
      <c r="DH548" s="353"/>
      <c r="DI548" s="353"/>
      <c r="DJ548" s="353"/>
      <c r="DK548" s="353"/>
      <c r="DL548" s="353"/>
      <c r="DM548" s="353"/>
      <c r="DN548" s="353"/>
      <c r="DO548" s="353"/>
      <c r="DP548" s="353"/>
      <c r="DQ548" s="353"/>
      <c r="DR548" s="353"/>
      <c r="DS548" s="353"/>
      <c r="DT548" s="353"/>
      <c r="DU548" s="353"/>
      <c r="DV548" s="353"/>
      <c r="DW548" s="353"/>
      <c r="DX548" s="353"/>
      <c r="DY548" s="353"/>
      <c r="DZ548" s="353"/>
      <c r="EA548" s="353"/>
      <c r="EB548" s="353"/>
      <c r="EC548" s="353"/>
      <c r="ED548" s="353"/>
      <c r="EE548" s="353"/>
      <c r="EF548" s="353"/>
      <c r="EG548" s="353"/>
      <c r="EH548" s="353"/>
      <c r="EI548" s="353"/>
      <c r="EJ548" s="353"/>
      <c r="EK548" s="353"/>
      <c r="EL548" s="353"/>
      <c r="EM548" s="353"/>
      <c r="EN548" s="353"/>
      <c r="EO548" s="353"/>
      <c r="EP548" s="353"/>
      <c r="EQ548" s="353"/>
      <c r="ER548" s="353"/>
      <c r="ES548" s="353"/>
      <c r="ET548" s="353"/>
      <c r="EU548" s="353"/>
      <c r="EV548" s="353"/>
      <c r="EW548" s="353"/>
      <c r="EX548" s="353"/>
      <c r="EY548" s="353"/>
      <c r="EZ548" s="353"/>
      <c r="FA548" s="353"/>
      <c r="FB548" s="353"/>
      <c r="FC548" s="353"/>
      <c r="FD548" s="353"/>
      <c r="FE548" s="353"/>
      <c r="FF548" s="353"/>
      <c r="FG548" s="353"/>
      <c r="FH548" s="353"/>
      <c r="FI548" s="353"/>
      <c r="FJ548" s="353"/>
      <c r="FK548" s="353"/>
      <c r="FL548" s="353"/>
      <c r="FM548" s="353"/>
      <c r="FN548" s="353"/>
      <c r="FO548" s="353"/>
      <c r="FP548" s="353"/>
      <c r="FQ548" s="353"/>
      <c r="FR548" s="353"/>
      <c r="FS548" s="353"/>
      <c r="FT548" s="353"/>
      <c r="FU548" s="353"/>
      <c r="FV548" s="353"/>
      <c r="FW548" s="353"/>
      <c r="FX548" s="353"/>
      <c r="FY548" s="353"/>
      <c r="FZ548" s="353"/>
      <c r="GA548" s="353"/>
      <c r="GB548" s="353"/>
      <c r="GC548" s="353"/>
      <c r="GD548" s="353"/>
      <c r="GE548" s="353"/>
      <c r="GF548" s="353"/>
      <c r="GG548" s="353"/>
      <c r="GH548" s="353"/>
      <c r="GI548" s="353"/>
      <c r="GJ548" s="353"/>
      <c r="GK548" s="353"/>
      <c r="GL548" s="353"/>
      <c r="GM548" s="353"/>
      <c r="GN548" s="353"/>
      <c r="GO548" s="353"/>
      <c r="GP548" s="353"/>
      <c r="GQ548" s="353"/>
      <c r="GR548" s="353"/>
      <c r="GS548" s="353"/>
      <c r="GT548" s="353"/>
      <c r="GU548" s="353"/>
      <c r="GV548" s="353"/>
      <c r="GW548" s="353"/>
      <c r="GX548" s="353"/>
      <c r="GY548" s="353"/>
      <c r="GZ548" s="353"/>
      <c r="HA548" s="353"/>
      <c r="HB548" s="353"/>
      <c r="HC548" s="353"/>
      <c r="HD548" s="353"/>
      <c r="HE548" s="353"/>
      <c r="HF548" s="353"/>
      <c r="HG548" s="353"/>
      <c r="HH548" s="353"/>
      <c r="HI548" s="353"/>
      <c r="HJ548" s="353"/>
      <c r="HK548" s="353"/>
      <c r="HL548" s="353"/>
      <c r="HM548" s="353"/>
      <c r="HN548" s="353"/>
      <c r="HO548" s="353"/>
      <c r="HP548" s="353"/>
      <c r="HQ548" s="353"/>
      <c r="HR548" s="353"/>
    </row>
    <row r="549" spans="1:226" s="354" customFormat="1" ht="15" customHeight="1">
      <c r="A549" s="1557"/>
      <c r="B549" s="1560"/>
      <c r="C549" s="1563"/>
      <c r="D549" s="1566"/>
      <c r="E549" s="363" t="s">
        <v>472</v>
      </c>
      <c r="F549" s="359">
        <f t="shared" si="48"/>
        <v>2127834</v>
      </c>
      <c r="G549" s="412">
        <v>2127834</v>
      </c>
      <c r="H549" s="412"/>
      <c r="I549" s="412"/>
      <c r="J549" s="413"/>
      <c r="K549" s="353"/>
      <c r="L549" s="353"/>
      <c r="M549" s="353"/>
      <c r="N549" s="353"/>
      <c r="O549" s="353"/>
      <c r="P549" s="353"/>
      <c r="Q549" s="353"/>
      <c r="R549" s="353"/>
      <c r="S549" s="353"/>
      <c r="T549" s="353"/>
      <c r="U549" s="353"/>
      <c r="V549" s="353"/>
      <c r="W549" s="353"/>
      <c r="X549" s="353"/>
      <c r="Y549" s="353"/>
      <c r="Z549" s="353"/>
      <c r="AA549" s="353"/>
      <c r="AB549" s="353"/>
      <c r="AC549" s="353"/>
      <c r="AD549" s="353"/>
      <c r="AE549" s="353"/>
      <c r="AF549" s="353"/>
      <c r="AG549" s="353"/>
      <c r="AH549" s="353"/>
      <c r="AI549" s="353"/>
      <c r="AJ549" s="353"/>
      <c r="AK549" s="353"/>
      <c r="AL549" s="353"/>
      <c r="AM549" s="353"/>
      <c r="AN549" s="353"/>
      <c r="AO549" s="353"/>
      <c r="AP549" s="353"/>
      <c r="AQ549" s="353"/>
      <c r="AR549" s="353"/>
      <c r="AS549" s="353"/>
      <c r="AT549" s="353"/>
      <c r="AU549" s="353"/>
      <c r="AV549" s="353"/>
      <c r="AW549" s="353"/>
      <c r="AX549" s="353"/>
      <c r="AY549" s="353"/>
      <c r="AZ549" s="353"/>
      <c r="BA549" s="353"/>
      <c r="BB549" s="353"/>
      <c r="BC549" s="353"/>
      <c r="BD549" s="353"/>
      <c r="BE549" s="353"/>
      <c r="BF549" s="353"/>
      <c r="BG549" s="353"/>
      <c r="BH549" s="353"/>
      <c r="BI549" s="353"/>
      <c r="BJ549" s="353"/>
      <c r="BK549" s="353"/>
      <c r="BL549" s="353"/>
      <c r="BM549" s="353"/>
      <c r="BN549" s="353"/>
      <c r="BO549" s="353"/>
      <c r="BP549" s="353"/>
      <c r="BQ549" s="353"/>
      <c r="BR549" s="353"/>
      <c r="BS549" s="353"/>
      <c r="BT549" s="353"/>
      <c r="BU549" s="353"/>
      <c r="BV549" s="353"/>
      <c r="BW549" s="353"/>
      <c r="BX549" s="353"/>
      <c r="BY549" s="353"/>
      <c r="BZ549" s="353"/>
      <c r="CA549" s="353"/>
      <c r="CB549" s="353"/>
      <c r="CC549" s="353"/>
      <c r="CD549" s="353"/>
      <c r="CE549" s="353"/>
      <c r="CF549" s="353"/>
      <c r="CG549" s="353"/>
      <c r="CH549" s="353"/>
      <c r="CI549" s="353"/>
      <c r="CJ549" s="353"/>
      <c r="CK549" s="353"/>
      <c r="CL549" s="353"/>
      <c r="CM549" s="353"/>
      <c r="CN549" s="353"/>
      <c r="CO549" s="353"/>
      <c r="CP549" s="353"/>
      <c r="CQ549" s="353"/>
      <c r="CR549" s="353"/>
      <c r="CS549" s="353"/>
      <c r="CT549" s="353"/>
      <c r="CU549" s="353"/>
      <c r="CV549" s="353"/>
      <c r="CW549" s="353"/>
      <c r="CX549" s="353"/>
      <c r="CY549" s="353"/>
      <c r="CZ549" s="353"/>
      <c r="DA549" s="353"/>
      <c r="DB549" s="353"/>
      <c r="DC549" s="353"/>
      <c r="DD549" s="353"/>
      <c r="DE549" s="353"/>
      <c r="DF549" s="353"/>
      <c r="DG549" s="353"/>
      <c r="DH549" s="353"/>
      <c r="DI549" s="353"/>
      <c r="DJ549" s="353"/>
      <c r="DK549" s="353"/>
      <c r="DL549" s="353"/>
      <c r="DM549" s="353"/>
      <c r="DN549" s="353"/>
      <c r="DO549" s="353"/>
      <c r="DP549" s="353"/>
      <c r="DQ549" s="353"/>
      <c r="DR549" s="353"/>
      <c r="DS549" s="353"/>
      <c r="DT549" s="353"/>
      <c r="DU549" s="353"/>
      <c r="DV549" s="353"/>
      <c r="DW549" s="353"/>
      <c r="DX549" s="353"/>
      <c r="DY549" s="353"/>
      <c r="DZ549" s="353"/>
      <c r="EA549" s="353"/>
      <c r="EB549" s="353"/>
      <c r="EC549" s="353"/>
      <c r="ED549" s="353"/>
      <c r="EE549" s="353"/>
      <c r="EF549" s="353"/>
      <c r="EG549" s="353"/>
      <c r="EH549" s="353"/>
      <c r="EI549" s="353"/>
      <c r="EJ549" s="353"/>
      <c r="EK549" s="353"/>
      <c r="EL549" s="353"/>
      <c r="EM549" s="353"/>
      <c r="EN549" s="353"/>
      <c r="EO549" s="353"/>
      <c r="EP549" s="353"/>
      <c r="EQ549" s="353"/>
      <c r="ER549" s="353"/>
      <c r="ES549" s="353"/>
      <c r="ET549" s="353"/>
      <c r="EU549" s="353"/>
      <c r="EV549" s="353"/>
      <c r="EW549" s="353"/>
      <c r="EX549" s="353"/>
      <c r="EY549" s="353"/>
      <c r="EZ549" s="353"/>
      <c r="FA549" s="353"/>
      <c r="FB549" s="353"/>
      <c r="FC549" s="353"/>
      <c r="FD549" s="353"/>
      <c r="FE549" s="353"/>
      <c r="FF549" s="353"/>
      <c r="FG549" s="353"/>
      <c r="FH549" s="353"/>
      <c r="FI549" s="353"/>
      <c r="FJ549" s="353"/>
      <c r="FK549" s="353"/>
      <c r="FL549" s="353"/>
      <c r="FM549" s="353"/>
      <c r="FN549" s="353"/>
      <c r="FO549" s="353"/>
      <c r="FP549" s="353"/>
      <c r="FQ549" s="353"/>
      <c r="FR549" s="353"/>
      <c r="FS549" s="353"/>
      <c r="FT549" s="353"/>
      <c r="FU549" s="353"/>
      <c r="FV549" s="353"/>
      <c r="FW549" s="353"/>
      <c r="FX549" s="353"/>
      <c r="FY549" s="353"/>
      <c r="FZ549" s="353"/>
      <c r="GA549" s="353"/>
      <c r="GB549" s="353"/>
      <c r="GC549" s="353"/>
      <c r="GD549" s="353"/>
      <c r="GE549" s="353"/>
      <c r="GF549" s="353"/>
      <c r="GG549" s="353"/>
      <c r="GH549" s="353"/>
      <c r="GI549" s="353"/>
      <c r="GJ549" s="353"/>
      <c r="GK549" s="353"/>
      <c r="GL549" s="353"/>
      <c r="GM549" s="353"/>
      <c r="GN549" s="353"/>
      <c r="GO549" s="353"/>
      <c r="GP549" s="353"/>
      <c r="GQ549" s="353"/>
      <c r="GR549" s="353"/>
      <c r="GS549" s="353"/>
      <c r="GT549" s="353"/>
      <c r="GU549" s="353"/>
      <c r="GV549" s="353"/>
      <c r="GW549" s="353"/>
      <c r="GX549" s="353"/>
      <c r="GY549" s="353"/>
      <c r="GZ549" s="353"/>
      <c r="HA549" s="353"/>
      <c r="HB549" s="353"/>
      <c r="HC549" s="353"/>
      <c r="HD549" s="353"/>
      <c r="HE549" s="353"/>
      <c r="HF549" s="353"/>
      <c r="HG549" s="353"/>
      <c r="HH549" s="353"/>
      <c r="HI549" s="353"/>
      <c r="HJ549" s="353"/>
      <c r="HK549" s="353"/>
      <c r="HL549" s="353"/>
      <c r="HM549" s="353"/>
      <c r="HN549" s="353"/>
      <c r="HO549" s="353"/>
      <c r="HP549" s="353"/>
      <c r="HQ549" s="353"/>
      <c r="HR549" s="353"/>
    </row>
    <row r="550" spans="1:226" s="354" customFormat="1" ht="15" hidden="1" customHeight="1">
      <c r="A550" s="1557"/>
      <c r="B550" s="1560"/>
      <c r="C550" s="1563"/>
      <c r="D550" s="1566"/>
      <c r="E550" s="411">
        <v>6060</v>
      </c>
      <c r="F550" s="412">
        <f t="shared" si="48"/>
        <v>0</v>
      </c>
      <c r="G550" s="412"/>
      <c r="H550" s="412"/>
      <c r="I550" s="412"/>
      <c r="J550" s="413"/>
      <c r="K550" s="353"/>
    </row>
    <row r="551" spans="1:226" s="354" customFormat="1" ht="15" hidden="1" customHeight="1">
      <c r="A551" s="1557"/>
      <c r="B551" s="1560"/>
      <c r="C551" s="1563"/>
      <c r="D551" s="1566"/>
      <c r="E551" s="363" t="s">
        <v>408</v>
      </c>
      <c r="F551" s="412">
        <f t="shared" si="48"/>
        <v>0</v>
      </c>
      <c r="G551" s="412"/>
      <c r="H551" s="412"/>
      <c r="I551" s="412"/>
      <c r="J551" s="413"/>
      <c r="K551" s="353"/>
    </row>
    <row r="552" spans="1:226" s="354" customFormat="1" ht="15" hidden="1" customHeight="1">
      <c r="A552" s="1558"/>
      <c r="B552" s="1561"/>
      <c r="C552" s="1564"/>
      <c r="D552" s="1567"/>
      <c r="E552" s="396">
        <v>6069</v>
      </c>
      <c r="F552" s="412">
        <f t="shared" si="48"/>
        <v>0</v>
      </c>
      <c r="G552" s="412"/>
      <c r="H552" s="412"/>
      <c r="I552" s="412"/>
      <c r="J552" s="413"/>
      <c r="K552" s="353"/>
    </row>
    <row r="553" spans="1:226" s="354" customFormat="1" ht="24.95" customHeight="1">
      <c r="A553" s="1556" t="s">
        <v>329</v>
      </c>
      <c r="B553" s="1559" t="s">
        <v>474</v>
      </c>
      <c r="C553" s="1562">
        <v>600</v>
      </c>
      <c r="D553" s="1565" t="s">
        <v>470</v>
      </c>
      <c r="E553" s="350" t="s">
        <v>315</v>
      </c>
      <c r="F553" s="351">
        <f>SUM(F554,F561)</f>
        <v>11378028</v>
      </c>
      <c r="G553" s="351">
        <f>SUM(G554,G561)</f>
        <v>3834730</v>
      </c>
      <c r="H553" s="351">
        <f>SUM(H554,H561)</f>
        <v>7543298</v>
      </c>
      <c r="I553" s="351">
        <f>SUM(I554,I561)</f>
        <v>0</v>
      </c>
      <c r="J553" s="352">
        <f>SUM(J554,J561)</f>
        <v>0</v>
      </c>
      <c r="K553" s="353"/>
    </row>
    <row r="554" spans="1:226" s="354" customFormat="1" ht="24.95" customHeight="1">
      <c r="A554" s="1557"/>
      <c r="B554" s="1560"/>
      <c r="C554" s="1563"/>
      <c r="D554" s="1566"/>
      <c r="E554" s="355" t="s">
        <v>316</v>
      </c>
      <c r="F554" s="356">
        <f>SUM(F555,F558)</f>
        <v>0</v>
      </c>
      <c r="G554" s="356">
        <f>SUM(G555,G558)</f>
        <v>0</v>
      </c>
      <c r="H554" s="356">
        <f>SUM(H555,H558)</f>
        <v>0</v>
      </c>
      <c r="I554" s="356">
        <f>SUM(I555,I558)</f>
        <v>0</v>
      </c>
      <c r="J554" s="357">
        <f>SUM(J555,J558)</f>
        <v>0</v>
      </c>
      <c r="K554" s="353"/>
    </row>
    <row r="555" spans="1:226" s="354" customFormat="1" ht="24.95" hidden="1" customHeight="1">
      <c r="A555" s="1557"/>
      <c r="B555" s="1560"/>
      <c r="C555" s="1563"/>
      <c r="D555" s="1566"/>
      <c r="E555" s="393" t="s">
        <v>333</v>
      </c>
      <c r="F555" s="394">
        <f>SUM(F556:F557)</f>
        <v>0</v>
      </c>
      <c r="G555" s="394">
        <f>SUM(G556:G557)</f>
        <v>0</v>
      </c>
      <c r="H555" s="394">
        <f>SUM(H556:H557)</f>
        <v>0</v>
      </c>
      <c r="I555" s="394">
        <f>SUM(I556:I557)</f>
        <v>0</v>
      </c>
      <c r="J555" s="395">
        <f>SUM(J556:J557)</f>
        <v>0</v>
      </c>
      <c r="K555" s="353"/>
    </row>
    <row r="556" spans="1:226" s="354" customFormat="1" ht="15" hidden="1" customHeight="1">
      <c r="A556" s="1557"/>
      <c r="B556" s="1560"/>
      <c r="C556" s="1563"/>
      <c r="D556" s="1566"/>
      <c r="E556" s="358"/>
      <c r="F556" s="359">
        <f>SUM(G556:J556)</f>
        <v>0</v>
      </c>
      <c r="G556" s="359"/>
      <c r="H556" s="359"/>
      <c r="I556" s="359"/>
      <c r="J556" s="360"/>
      <c r="K556" s="353"/>
    </row>
    <row r="557" spans="1:226" s="354" customFormat="1" ht="15" hidden="1" customHeight="1">
      <c r="A557" s="1557"/>
      <c r="B557" s="1560"/>
      <c r="C557" s="1563"/>
      <c r="D557" s="1566"/>
      <c r="E557" s="358"/>
      <c r="F557" s="359">
        <f>SUM(G557:J557)</f>
        <v>0</v>
      </c>
      <c r="G557" s="359"/>
      <c r="H557" s="359"/>
      <c r="I557" s="359"/>
      <c r="J557" s="360"/>
      <c r="K557" s="353"/>
    </row>
    <row r="558" spans="1:226" s="354" customFormat="1" ht="24.95" hidden="1" customHeight="1">
      <c r="A558" s="1557"/>
      <c r="B558" s="1560"/>
      <c r="C558" s="1563"/>
      <c r="D558" s="1566"/>
      <c r="E558" s="393" t="s">
        <v>338</v>
      </c>
      <c r="F558" s="394">
        <f>SUM(F559:F560)</f>
        <v>0</v>
      </c>
      <c r="G558" s="394">
        <f>SUM(G559:G560)</f>
        <v>0</v>
      </c>
      <c r="H558" s="394">
        <f>SUM(H559:H560)</f>
        <v>0</v>
      </c>
      <c r="I558" s="394">
        <f>SUM(I559:I560)</f>
        <v>0</v>
      </c>
      <c r="J558" s="395">
        <f>SUM(J559:J560)</f>
        <v>0</v>
      </c>
      <c r="K558" s="353"/>
    </row>
    <row r="559" spans="1:226" s="354" customFormat="1" ht="15" hidden="1" customHeight="1">
      <c r="A559" s="1557"/>
      <c r="B559" s="1560"/>
      <c r="C559" s="1563"/>
      <c r="D559" s="1566"/>
      <c r="E559" s="358"/>
      <c r="F559" s="359">
        <f>SUM(G559:J559)</f>
        <v>0</v>
      </c>
      <c r="G559" s="359"/>
      <c r="H559" s="359"/>
      <c r="I559" s="359"/>
      <c r="J559" s="360"/>
      <c r="K559" s="353"/>
    </row>
    <row r="560" spans="1:226" s="354" customFormat="1" ht="15" hidden="1" customHeight="1">
      <c r="A560" s="1557"/>
      <c r="B560" s="1560"/>
      <c r="C560" s="1563"/>
      <c r="D560" s="1566"/>
      <c r="E560" s="358"/>
      <c r="F560" s="359">
        <f>SUM(G560:J560)</f>
        <v>0</v>
      </c>
      <c r="G560" s="359"/>
      <c r="H560" s="359"/>
      <c r="I560" s="359"/>
      <c r="J560" s="360"/>
      <c r="K560" s="353"/>
    </row>
    <row r="561" spans="1:226" s="354" customFormat="1" ht="24.95" customHeight="1">
      <c r="A561" s="1557"/>
      <c r="B561" s="1560"/>
      <c r="C561" s="1563"/>
      <c r="D561" s="1566"/>
      <c r="E561" s="361" t="s">
        <v>318</v>
      </c>
      <c r="F561" s="356">
        <f>SUM(F562:F567)</f>
        <v>11378028</v>
      </c>
      <c r="G561" s="356">
        <f>SUM(G562:G567)</f>
        <v>3834730</v>
      </c>
      <c r="H561" s="356">
        <f>SUM(H562:H567)</f>
        <v>7543298</v>
      </c>
      <c r="I561" s="356">
        <f>SUM(I562:I567)</f>
        <v>0</v>
      </c>
      <c r="J561" s="357">
        <f>SUM(J562:J567)</f>
        <v>0</v>
      </c>
      <c r="K561" s="353"/>
    </row>
    <row r="562" spans="1:226" s="353" customFormat="1" ht="15" customHeight="1">
      <c r="A562" s="1557"/>
      <c r="B562" s="1560"/>
      <c r="C562" s="1563"/>
      <c r="D562" s="1566"/>
      <c r="E562" s="358" t="s">
        <v>471</v>
      </c>
      <c r="F562" s="359">
        <f t="shared" ref="F562:F567" si="49">SUM(G562:J562)</f>
        <v>2503559</v>
      </c>
      <c r="G562" s="359">
        <v>2503559</v>
      </c>
      <c r="H562" s="359"/>
      <c r="I562" s="359"/>
      <c r="J562" s="360"/>
    </row>
    <row r="563" spans="1:226" s="354" customFormat="1" ht="15" customHeight="1">
      <c r="A563" s="1557"/>
      <c r="B563" s="1560"/>
      <c r="C563" s="1563"/>
      <c r="D563" s="1566"/>
      <c r="E563" s="358" t="s">
        <v>414</v>
      </c>
      <c r="F563" s="359">
        <f t="shared" si="49"/>
        <v>7543298</v>
      </c>
      <c r="G563" s="359"/>
      <c r="H563" s="359">
        <v>7543298</v>
      </c>
      <c r="I563" s="359"/>
      <c r="J563" s="360"/>
      <c r="K563" s="353"/>
      <c r="L563" s="353"/>
      <c r="M563" s="353"/>
      <c r="N563" s="353"/>
      <c r="O563" s="353"/>
      <c r="P563" s="353"/>
      <c r="Q563" s="353"/>
      <c r="R563" s="353"/>
      <c r="S563" s="353"/>
      <c r="T563" s="353"/>
      <c r="U563" s="353"/>
      <c r="V563" s="353"/>
      <c r="W563" s="353"/>
      <c r="X563" s="353"/>
      <c r="Y563" s="353"/>
      <c r="Z563" s="353"/>
      <c r="AA563" s="353"/>
      <c r="AB563" s="353"/>
      <c r="AC563" s="353"/>
      <c r="AD563" s="353"/>
      <c r="AE563" s="353"/>
      <c r="AF563" s="353"/>
      <c r="AG563" s="353"/>
      <c r="AH563" s="353"/>
      <c r="AI563" s="353"/>
      <c r="AJ563" s="353"/>
      <c r="AK563" s="353"/>
      <c r="AL563" s="353"/>
      <c r="AM563" s="353"/>
      <c r="AN563" s="353"/>
      <c r="AO563" s="353"/>
      <c r="AP563" s="353"/>
      <c r="AQ563" s="353"/>
      <c r="AR563" s="353"/>
      <c r="AS563" s="353"/>
      <c r="AT563" s="353"/>
      <c r="AU563" s="353"/>
      <c r="AV563" s="353"/>
      <c r="AW563" s="353"/>
      <c r="AX563" s="353"/>
      <c r="AY563" s="353"/>
      <c r="AZ563" s="353"/>
      <c r="BA563" s="353"/>
      <c r="BB563" s="353"/>
      <c r="BC563" s="353"/>
      <c r="BD563" s="353"/>
      <c r="BE563" s="353"/>
      <c r="BF563" s="353"/>
      <c r="BG563" s="353"/>
      <c r="BH563" s="353"/>
      <c r="BI563" s="353"/>
      <c r="BJ563" s="353"/>
      <c r="BK563" s="353"/>
      <c r="BL563" s="353"/>
      <c r="BM563" s="353"/>
      <c r="BN563" s="353"/>
      <c r="BO563" s="353"/>
      <c r="BP563" s="353"/>
      <c r="BQ563" s="353"/>
      <c r="BR563" s="353"/>
      <c r="BS563" s="353"/>
      <c r="BT563" s="353"/>
      <c r="BU563" s="353"/>
      <c r="BV563" s="353"/>
      <c r="BW563" s="353"/>
      <c r="BX563" s="353"/>
      <c r="BY563" s="353"/>
      <c r="BZ563" s="353"/>
      <c r="CA563" s="353"/>
      <c r="CB563" s="353"/>
      <c r="CC563" s="353"/>
      <c r="CD563" s="353"/>
      <c r="CE563" s="353"/>
      <c r="CF563" s="353"/>
      <c r="CG563" s="353"/>
      <c r="CH563" s="353"/>
      <c r="CI563" s="353"/>
      <c r="CJ563" s="353"/>
      <c r="CK563" s="353"/>
      <c r="CL563" s="353"/>
      <c r="CM563" s="353"/>
      <c r="CN563" s="353"/>
      <c r="CO563" s="353"/>
      <c r="CP563" s="353"/>
      <c r="CQ563" s="353"/>
      <c r="CR563" s="353"/>
      <c r="CS563" s="353"/>
      <c r="CT563" s="353"/>
      <c r="CU563" s="353"/>
      <c r="CV563" s="353"/>
      <c r="CW563" s="353"/>
      <c r="CX563" s="353"/>
      <c r="CY563" s="353"/>
      <c r="CZ563" s="353"/>
      <c r="DA563" s="353"/>
      <c r="DB563" s="353"/>
      <c r="DC563" s="353"/>
      <c r="DD563" s="353"/>
      <c r="DE563" s="353"/>
      <c r="DF563" s="353"/>
      <c r="DG563" s="353"/>
      <c r="DH563" s="353"/>
      <c r="DI563" s="353"/>
      <c r="DJ563" s="353"/>
      <c r="DK563" s="353"/>
      <c r="DL563" s="353"/>
      <c r="DM563" s="353"/>
      <c r="DN563" s="353"/>
      <c r="DO563" s="353"/>
      <c r="DP563" s="353"/>
      <c r="DQ563" s="353"/>
      <c r="DR563" s="353"/>
      <c r="DS563" s="353"/>
      <c r="DT563" s="353"/>
      <c r="DU563" s="353"/>
      <c r="DV563" s="353"/>
      <c r="DW563" s="353"/>
      <c r="DX563" s="353"/>
      <c r="DY563" s="353"/>
      <c r="DZ563" s="353"/>
      <c r="EA563" s="353"/>
      <c r="EB563" s="353"/>
      <c r="EC563" s="353"/>
      <c r="ED563" s="353"/>
      <c r="EE563" s="353"/>
      <c r="EF563" s="353"/>
      <c r="EG563" s="353"/>
      <c r="EH563" s="353"/>
      <c r="EI563" s="353"/>
      <c r="EJ563" s="353"/>
      <c r="EK563" s="353"/>
      <c r="EL563" s="353"/>
      <c r="EM563" s="353"/>
      <c r="EN563" s="353"/>
      <c r="EO563" s="353"/>
      <c r="EP563" s="353"/>
      <c r="EQ563" s="353"/>
      <c r="ER563" s="353"/>
      <c r="ES563" s="353"/>
      <c r="ET563" s="353"/>
      <c r="EU563" s="353"/>
      <c r="EV563" s="353"/>
      <c r="EW563" s="353"/>
      <c r="EX563" s="353"/>
      <c r="EY563" s="353"/>
      <c r="EZ563" s="353"/>
      <c r="FA563" s="353"/>
      <c r="FB563" s="353"/>
      <c r="FC563" s="353"/>
      <c r="FD563" s="353"/>
      <c r="FE563" s="353"/>
      <c r="FF563" s="353"/>
      <c r="FG563" s="353"/>
      <c r="FH563" s="353"/>
      <c r="FI563" s="353"/>
      <c r="FJ563" s="353"/>
      <c r="FK563" s="353"/>
      <c r="FL563" s="353"/>
      <c r="FM563" s="353"/>
      <c r="FN563" s="353"/>
      <c r="FO563" s="353"/>
      <c r="FP563" s="353"/>
      <c r="FQ563" s="353"/>
      <c r="FR563" s="353"/>
      <c r="FS563" s="353"/>
      <c r="FT563" s="353"/>
      <c r="FU563" s="353"/>
      <c r="FV563" s="353"/>
      <c r="FW563" s="353"/>
      <c r="FX563" s="353"/>
      <c r="FY563" s="353"/>
      <c r="FZ563" s="353"/>
      <c r="GA563" s="353"/>
      <c r="GB563" s="353"/>
      <c r="GC563" s="353"/>
      <c r="GD563" s="353"/>
      <c r="GE563" s="353"/>
      <c r="GF563" s="353"/>
      <c r="GG563" s="353"/>
      <c r="GH563" s="353"/>
      <c r="GI563" s="353"/>
      <c r="GJ563" s="353"/>
      <c r="GK563" s="353"/>
      <c r="GL563" s="353"/>
      <c r="GM563" s="353"/>
      <c r="GN563" s="353"/>
      <c r="GO563" s="353"/>
      <c r="GP563" s="353"/>
      <c r="GQ563" s="353"/>
      <c r="GR563" s="353"/>
      <c r="GS563" s="353"/>
      <c r="GT563" s="353"/>
      <c r="GU563" s="353"/>
      <c r="GV563" s="353"/>
      <c r="GW563" s="353"/>
      <c r="GX563" s="353"/>
      <c r="GY563" s="353"/>
      <c r="GZ563" s="353"/>
      <c r="HA563" s="353"/>
      <c r="HB563" s="353"/>
      <c r="HC563" s="353"/>
      <c r="HD563" s="353"/>
      <c r="HE563" s="353"/>
      <c r="HF563" s="353"/>
      <c r="HG563" s="353"/>
      <c r="HH563" s="353"/>
      <c r="HI563" s="353"/>
      <c r="HJ563" s="353"/>
      <c r="HK563" s="353"/>
      <c r="HL563" s="353"/>
      <c r="HM563" s="353"/>
      <c r="HN563" s="353"/>
      <c r="HO563" s="353"/>
      <c r="HP563" s="353"/>
      <c r="HQ563" s="353"/>
      <c r="HR563" s="353"/>
    </row>
    <row r="564" spans="1:226" s="354" customFormat="1" ht="15" customHeight="1">
      <c r="A564" s="1557"/>
      <c r="B564" s="1560"/>
      <c r="C564" s="1563"/>
      <c r="D564" s="1566"/>
      <c r="E564" s="411">
        <v>6059</v>
      </c>
      <c r="F564" s="412">
        <f t="shared" si="49"/>
        <v>1331171</v>
      </c>
      <c r="G564" s="412">
        <v>1331171</v>
      </c>
      <c r="H564" s="412"/>
      <c r="I564" s="412"/>
      <c r="J564" s="413"/>
      <c r="K564" s="353"/>
    </row>
    <row r="565" spans="1:226" s="354" customFormat="1" ht="15" hidden="1" customHeight="1">
      <c r="A565" s="1557"/>
      <c r="B565" s="1560"/>
      <c r="C565" s="1563"/>
      <c r="D565" s="1566"/>
      <c r="E565" s="411">
        <v>6060</v>
      </c>
      <c r="F565" s="412">
        <f t="shared" si="49"/>
        <v>0</v>
      </c>
      <c r="G565" s="412"/>
      <c r="H565" s="412"/>
      <c r="I565" s="412"/>
      <c r="J565" s="413"/>
      <c r="K565" s="353"/>
    </row>
    <row r="566" spans="1:226" s="354" customFormat="1" ht="15" hidden="1" customHeight="1">
      <c r="A566" s="1557"/>
      <c r="B566" s="1560"/>
      <c r="C566" s="1563"/>
      <c r="D566" s="1566"/>
      <c r="E566" s="363" t="s">
        <v>408</v>
      </c>
      <c r="F566" s="412">
        <f t="shared" si="49"/>
        <v>0</v>
      </c>
      <c r="G566" s="412"/>
      <c r="H566" s="412"/>
      <c r="I566" s="412"/>
      <c r="J566" s="413"/>
      <c r="K566" s="353"/>
    </row>
    <row r="567" spans="1:226" s="354" customFormat="1" ht="15" hidden="1" customHeight="1">
      <c r="A567" s="1558"/>
      <c r="B567" s="1561"/>
      <c r="C567" s="1564"/>
      <c r="D567" s="1567"/>
      <c r="E567" s="396">
        <v>6069</v>
      </c>
      <c r="F567" s="412">
        <f t="shared" si="49"/>
        <v>0</v>
      </c>
      <c r="G567" s="412"/>
      <c r="H567" s="412"/>
      <c r="I567" s="412"/>
      <c r="J567" s="413"/>
      <c r="K567" s="353"/>
    </row>
    <row r="568" spans="1:226" s="354" customFormat="1" ht="24.95" customHeight="1">
      <c r="A568" s="1556" t="s">
        <v>352</v>
      </c>
      <c r="B568" s="1559" t="s">
        <v>475</v>
      </c>
      <c r="C568" s="1562">
        <v>600</v>
      </c>
      <c r="D568" s="1565" t="s">
        <v>470</v>
      </c>
      <c r="E568" s="350" t="s">
        <v>315</v>
      </c>
      <c r="F568" s="351">
        <f>SUM(F569,F576)</f>
        <v>6000000</v>
      </c>
      <c r="G568" s="351">
        <f>SUM(G569,G576)</f>
        <v>0</v>
      </c>
      <c r="H568" s="351">
        <f>SUM(H569,H576)</f>
        <v>5100000</v>
      </c>
      <c r="I568" s="351">
        <f>SUM(I569,I576)</f>
        <v>0</v>
      </c>
      <c r="J568" s="352">
        <f>SUM(J569,J576)</f>
        <v>900000</v>
      </c>
      <c r="K568" s="353"/>
    </row>
    <row r="569" spans="1:226" s="354" customFormat="1" ht="20.25" customHeight="1">
      <c r="A569" s="1557"/>
      <c r="B569" s="1560"/>
      <c r="C569" s="1563"/>
      <c r="D569" s="1566"/>
      <c r="E569" s="355" t="s">
        <v>316</v>
      </c>
      <c r="F569" s="356">
        <f>SUM(F570,F573)</f>
        <v>0</v>
      </c>
      <c r="G569" s="356">
        <f>SUM(G570,G573)</f>
        <v>0</v>
      </c>
      <c r="H569" s="356">
        <f>SUM(H570,H573)</f>
        <v>0</v>
      </c>
      <c r="I569" s="356">
        <f>SUM(I570,I573)</f>
        <v>0</v>
      </c>
      <c r="J569" s="357">
        <f>SUM(J570,J573)</f>
        <v>0</v>
      </c>
      <c r="K569" s="353"/>
    </row>
    <row r="570" spans="1:226" s="354" customFormat="1" ht="24.95" hidden="1" customHeight="1">
      <c r="A570" s="1557"/>
      <c r="B570" s="1560"/>
      <c r="C570" s="1563"/>
      <c r="D570" s="1566"/>
      <c r="E570" s="393" t="s">
        <v>333</v>
      </c>
      <c r="F570" s="394">
        <f>SUM(F571:F572)</f>
        <v>0</v>
      </c>
      <c r="G570" s="394">
        <f>SUM(G571:G572)</f>
        <v>0</v>
      </c>
      <c r="H570" s="394">
        <f>SUM(H571:H572)</f>
        <v>0</v>
      </c>
      <c r="I570" s="394">
        <f>SUM(I571:I572)</f>
        <v>0</v>
      </c>
      <c r="J570" s="395">
        <f>SUM(J571:J572)</f>
        <v>0</v>
      </c>
      <c r="K570" s="353"/>
    </row>
    <row r="571" spans="1:226" s="354" customFormat="1" ht="15" hidden="1" customHeight="1">
      <c r="A571" s="1557"/>
      <c r="B571" s="1560"/>
      <c r="C571" s="1563"/>
      <c r="D571" s="1566"/>
      <c r="E571" s="358"/>
      <c r="F571" s="359">
        <f>SUM(G571:J571)</f>
        <v>0</v>
      </c>
      <c r="G571" s="359"/>
      <c r="H571" s="359"/>
      <c r="I571" s="359"/>
      <c r="J571" s="360"/>
      <c r="K571" s="353"/>
    </row>
    <row r="572" spans="1:226" s="354" customFormat="1" ht="15" hidden="1" customHeight="1">
      <c r="A572" s="1557"/>
      <c r="B572" s="1560"/>
      <c r="C572" s="1563"/>
      <c r="D572" s="1566"/>
      <c r="E572" s="358"/>
      <c r="F572" s="359">
        <f>SUM(G572:J572)</f>
        <v>0</v>
      </c>
      <c r="G572" s="359"/>
      <c r="H572" s="359"/>
      <c r="I572" s="359"/>
      <c r="J572" s="360"/>
      <c r="K572" s="353"/>
    </row>
    <row r="573" spans="1:226" s="354" customFormat="1" ht="24.95" hidden="1" customHeight="1">
      <c r="A573" s="1557"/>
      <c r="B573" s="1560"/>
      <c r="C573" s="1563"/>
      <c r="D573" s="1566"/>
      <c r="E573" s="393" t="s">
        <v>338</v>
      </c>
      <c r="F573" s="394">
        <f>SUM(F574:F575)</f>
        <v>0</v>
      </c>
      <c r="G573" s="394">
        <f>SUM(G574:G575)</f>
        <v>0</v>
      </c>
      <c r="H573" s="394">
        <f>SUM(H574:H575)</f>
        <v>0</v>
      </c>
      <c r="I573" s="394">
        <f>SUM(I574:I575)</f>
        <v>0</v>
      </c>
      <c r="J573" s="395">
        <f>SUM(J574:J575)</f>
        <v>0</v>
      </c>
      <c r="K573" s="353"/>
    </row>
    <row r="574" spans="1:226" s="354" customFormat="1" ht="15" hidden="1" customHeight="1">
      <c r="A574" s="1557"/>
      <c r="B574" s="1560"/>
      <c r="C574" s="1563"/>
      <c r="D574" s="1566"/>
      <c r="E574" s="358"/>
      <c r="F574" s="359">
        <f>SUM(G574:J574)</f>
        <v>0</v>
      </c>
      <c r="G574" s="359"/>
      <c r="H574" s="359"/>
      <c r="I574" s="359"/>
      <c r="J574" s="360"/>
      <c r="K574" s="353"/>
    </row>
    <row r="575" spans="1:226" s="354" customFormat="1" ht="15" hidden="1" customHeight="1">
      <c r="A575" s="1557"/>
      <c r="B575" s="1560"/>
      <c r="C575" s="1563"/>
      <c r="D575" s="1566"/>
      <c r="E575" s="358"/>
      <c r="F575" s="359">
        <f>SUM(G575:J575)</f>
        <v>0</v>
      </c>
      <c r="G575" s="359"/>
      <c r="H575" s="359"/>
      <c r="I575" s="359"/>
      <c r="J575" s="360"/>
      <c r="K575" s="353"/>
    </row>
    <row r="576" spans="1:226" s="354" customFormat="1" ht="24.95" customHeight="1">
      <c r="A576" s="1557"/>
      <c r="B576" s="1560"/>
      <c r="C576" s="1563"/>
      <c r="D576" s="1566"/>
      <c r="E576" s="361" t="s">
        <v>318</v>
      </c>
      <c r="F576" s="356">
        <f>SUM(F577:F582)</f>
        <v>6000000</v>
      </c>
      <c r="G576" s="356">
        <f>SUM(G577:G582)</f>
        <v>0</v>
      </c>
      <c r="H576" s="356">
        <f>SUM(H577:H582)</f>
        <v>5100000</v>
      </c>
      <c r="I576" s="356">
        <f>SUM(I577:I582)</f>
        <v>0</v>
      </c>
      <c r="J576" s="357">
        <f>SUM(J577:J582)</f>
        <v>900000</v>
      </c>
      <c r="K576" s="353"/>
    </row>
    <row r="577" spans="1:226" s="353" customFormat="1" ht="15" hidden="1" customHeight="1">
      <c r="A577" s="1557"/>
      <c r="B577" s="1560"/>
      <c r="C577" s="1563"/>
      <c r="D577" s="1566"/>
      <c r="E577" s="358" t="s">
        <v>471</v>
      </c>
      <c r="F577" s="359">
        <f t="shared" ref="F577:F582" si="50">SUM(G577:J577)</f>
        <v>0</v>
      </c>
      <c r="G577" s="359"/>
      <c r="H577" s="359"/>
      <c r="I577" s="359"/>
      <c r="J577" s="360"/>
    </row>
    <row r="578" spans="1:226" s="354" customFormat="1" ht="15" customHeight="1">
      <c r="A578" s="1557"/>
      <c r="B578" s="1560"/>
      <c r="C578" s="1563"/>
      <c r="D578" s="1566"/>
      <c r="E578" s="358" t="s">
        <v>414</v>
      </c>
      <c r="F578" s="359">
        <f t="shared" si="50"/>
        <v>3570000</v>
      </c>
      <c r="G578" s="359"/>
      <c r="H578" s="359">
        <v>3570000</v>
      </c>
      <c r="I578" s="359"/>
      <c r="J578" s="360"/>
      <c r="K578" s="353"/>
      <c r="L578" s="353"/>
      <c r="M578" s="353"/>
      <c r="N578" s="353"/>
      <c r="O578" s="353"/>
      <c r="P578" s="353"/>
      <c r="Q578" s="353"/>
      <c r="R578" s="353"/>
      <c r="S578" s="353"/>
      <c r="T578" s="353"/>
      <c r="U578" s="353"/>
      <c r="V578" s="353"/>
      <c r="W578" s="353"/>
      <c r="X578" s="353"/>
      <c r="Y578" s="353"/>
      <c r="Z578" s="353"/>
      <c r="AA578" s="353"/>
      <c r="AB578" s="353"/>
      <c r="AC578" s="353"/>
      <c r="AD578" s="353"/>
      <c r="AE578" s="353"/>
      <c r="AF578" s="353"/>
      <c r="AG578" s="353"/>
      <c r="AH578" s="353"/>
      <c r="AI578" s="353"/>
      <c r="AJ578" s="353"/>
      <c r="AK578" s="353"/>
      <c r="AL578" s="353"/>
      <c r="AM578" s="353"/>
      <c r="AN578" s="353"/>
      <c r="AO578" s="353"/>
      <c r="AP578" s="353"/>
      <c r="AQ578" s="353"/>
      <c r="AR578" s="353"/>
      <c r="AS578" s="353"/>
      <c r="AT578" s="353"/>
      <c r="AU578" s="353"/>
      <c r="AV578" s="353"/>
      <c r="AW578" s="353"/>
      <c r="AX578" s="353"/>
      <c r="AY578" s="353"/>
      <c r="AZ578" s="353"/>
      <c r="BA578" s="353"/>
      <c r="BB578" s="353"/>
      <c r="BC578" s="353"/>
      <c r="BD578" s="353"/>
      <c r="BE578" s="353"/>
      <c r="BF578" s="353"/>
      <c r="BG578" s="353"/>
      <c r="BH578" s="353"/>
      <c r="BI578" s="353"/>
      <c r="BJ578" s="353"/>
      <c r="BK578" s="353"/>
      <c r="BL578" s="353"/>
      <c r="BM578" s="353"/>
      <c r="BN578" s="353"/>
      <c r="BO578" s="353"/>
      <c r="BP578" s="353"/>
      <c r="BQ578" s="353"/>
      <c r="BR578" s="353"/>
      <c r="BS578" s="353"/>
      <c r="BT578" s="353"/>
      <c r="BU578" s="353"/>
      <c r="BV578" s="353"/>
      <c r="BW578" s="353"/>
      <c r="BX578" s="353"/>
      <c r="BY578" s="353"/>
      <c r="BZ578" s="353"/>
      <c r="CA578" s="353"/>
      <c r="CB578" s="353"/>
      <c r="CC578" s="353"/>
      <c r="CD578" s="353"/>
      <c r="CE578" s="353"/>
      <c r="CF578" s="353"/>
      <c r="CG578" s="353"/>
      <c r="CH578" s="353"/>
      <c r="CI578" s="353"/>
      <c r="CJ578" s="353"/>
      <c r="CK578" s="353"/>
      <c r="CL578" s="353"/>
      <c r="CM578" s="353"/>
      <c r="CN578" s="353"/>
      <c r="CO578" s="353"/>
      <c r="CP578" s="353"/>
      <c r="CQ578" s="353"/>
      <c r="CR578" s="353"/>
      <c r="CS578" s="353"/>
      <c r="CT578" s="353"/>
      <c r="CU578" s="353"/>
      <c r="CV578" s="353"/>
      <c r="CW578" s="353"/>
      <c r="CX578" s="353"/>
      <c r="CY578" s="353"/>
      <c r="CZ578" s="353"/>
      <c r="DA578" s="353"/>
      <c r="DB578" s="353"/>
      <c r="DC578" s="353"/>
      <c r="DD578" s="353"/>
      <c r="DE578" s="353"/>
      <c r="DF578" s="353"/>
      <c r="DG578" s="353"/>
      <c r="DH578" s="353"/>
      <c r="DI578" s="353"/>
      <c r="DJ578" s="353"/>
      <c r="DK578" s="353"/>
      <c r="DL578" s="353"/>
      <c r="DM578" s="353"/>
      <c r="DN578" s="353"/>
      <c r="DO578" s="353"/>
      <c r="DP578" s="353"/>
      <c r="DQ578" s="353"/>
      <c r="DR578" s="353"/>
      <c r="DS578" s="353"/>
      <c r="DT578" s="353"/>
      <c r="DU578" s="353"/>
      <c r="DV578" s="353"/>
      <c r="DW578" s="353"/>
      <c r="DX578" s="353"/>
      <c r="DY578" s="353"/>
      <c r="DZ578" s="353"/>
      <c r="EA578" s="353"/>
      <c r="EB578" s="353"/>
      <c r="EC578" s="353"/>
      <c r="ED578" s="353"/>
      <c r="EE578" s="353"/>
      <c r="EF578" s="353"/>
      <c r="EG578" s="353"/>
      <c r="EH578" s="353"/>
      <c r="EI578" s="353"/>
      <c r="EJ578" s="353"/>
      <c r="EK578" s="353"/>
      <c r="EL578" s="353"/>
      <c r="EM578" s="353"/>
      <c r="EN578" s="353"/>
      <c r="EO578" s="353"/>
      <c r="EP578" s="353"/>
      <c r="EQ578" s="353"/>
      <c r="ER578" s="353"/>
      <c r="ES578" s="353"/>
      <c r="ET578" s="353"/>
      <c r="EU578" s="353"/>
      <c r="EV578" s="353"/>
      <c r="EW578" s="353"/>
      <c r="EX578" s="353"/>
      <c r="EY578" s="353"/>
      <c r="EZ578" s="353"/>
      <c r="FA578" s="353"/>
      <c r="FB578" s="353"/>
      <c r="FC578" s="353"/>
      <c r="FD578" s="353"/>
      <c r="FE578" s="353"/>
      <c r="FF578" s="353"/>
      <c r="FG578" s="353"/>
      <c r="FH578" s="353"/>
      <c r="FI578" s="353"/>
      <c r="FJ578" s="353"/>
      <c r="FK578" s="353"/>
      <c r="FL578" s="353"/>
      <c r="FM578" s="353"/>
      <c r="FN578" s="353"/>
      <c r="FO578" s="353"/>
      <c r="FP578" s="353"/>
      <c r="FQ578" s="353"/>
      <c r="FR578" s="353"/>
      <c r="FS578" s="353"/>
      <c r="FT578" s="353"/>
      <c r="FU578" s="353"/>
      <c r="FV578" s="353"/>
      <c r="FW578" s="353"/>
      <c r="FX578" s="353"/>
      <c r="FY578" s="353"/>
      <c r="FZ578" s="353"/>
      <c r="GA578" s="353"/>
      <c r="GB578" s="353"/>
      <c r="GC578" s="353"/>
      <c r="GD578" s="353"/>
      <c r="GE578" s="353"/>
      <c r="GF578" s="353"/>
      <c r="GG578" s="353"/>
      <c r="GH578" s="353"/>
      <c r="GI578" s="353"/>
      <c r="GJ578" s="353"/>
      <c r="GK578" s="353"/>
      <c r="GL578" s="353"/>
      <c r="GM578" s="353"/>
      <c r="GN578" s="353"/>
      <c r="GO578" s="353"/>
      <c r="GP578" s="353"/>
      <c r="GQ578" s="353"/>
      <c r="GR578" s="353"/>
      <c r="GS578" s="353"/>
      <c r="GT578" s="353"/>
      <c r="GU578" s="353"/>
      <c r="GV578" s="353"/>
      <c r="GW578" s="353"/>
      <c r="GX578" s="353"/>
      <c r="GY578" s="353"/>
      <c r="GZ578" s="353"/>
      <c r="HA578" s="353"/>
      <c r="HB578" s="353"/>
      <c r="HC578" s="353"/>
      <c r="HD578" s="353"/>
      <c r="HE578" s="353"/>
      <c r="HF578" s="353"/>
      <c r="HG578" s="353"/>
      <c r="HH578" s="353"/>
      <c r="HI578" s="353"/>
      <c r="HJ578" s="353"/>
      <c r="HK578" s="353"/>
      <c r="HL578" s="353"/>
      <c r="HM578" s="353"/>
      <c r="HN578" s="353"/>
      <c r="HO578" s="353"/>
      <c r="HP578" s="353"/>
      <c r="HQ578" s="353"/>
      <c r="HR578" s="353"/>
    </row>
    <row r="579" spans="1:226" s="354" customFormat="1" ht="15" customHeight="1">
      <c r="A579" s="1557"/>
      <c r="B579" s="1560"/>
      <c r="C579" s="1563"/>
      <c r="D579" s="1566"/>
      <c r="E579" s="411">
        <v>6059</v>
      </c>
      <c r="F579" s="412">
        <f t="shared" si="50"/>
        <v>630000</v>
      </c>
      <c r="G579" s="412"/>
      <c r="H579" s="412"/>
      <c r="I579" s="412"/>
      <c r="J579" s="413">
        <v>630000</v>
      </c>
      <c r="K579" s="353"/>
    </row>
    <row r="580" spans="1:226" s="354" customFormat="1" ht="15" hidden="1" customHeight="1">
      <c r="A580" s="1557"/>
      <c r="B580" s="1560"/>
      <c r="C580" s="1563"/>
      <c r="D580" s="1566"/>
      <c r="E580" s="411">
        <v>6060</v>
      </c>
      <c r="F580" s="412">
        <f t="shared" si="50"/>
        <v>0</v>
      </c>
      <c r="G580" s="412"/>
      <c r="H580" s="412"/>
      <c r="I580" s="412"/>
      <c r="J580" s="413"/>
      <c r="K580" s="353"/>
    </row>
    <row r="581" spans="1:226" s="354" customFormat="1" ht="15" customHeight="1">
      <c r="A581" s="1557"/>
      <c r="B581" s="1560"/>
      <c r="C581" s="1563"/>
      <c r="D581" s="1566"/>
      <c r="E581" s="363" t="s">
        <v>408</v>
      </c>
      <c r="F581" s="412">
        <f t="shared" si="50"/>
        <v>1530000</v>
      </c>
      <c r="G581" s="412"/>
      <c r="H581" s="412">
        <v>1530000</v>
      </c>
      <c r="I581" s="412"/>
      <c r="J581" s="413"/>
      <c r="K581" s="353"/>
    </row>
    <row r="582" spans="1:226" s="354" customFormat="1" ht="15" customHeight="1">
      <c r="A582" s="1558"/>
      <c r="B582" s="1561"/>
      <c r="C582" s="1564"/>
      <c r="D582" s="1567"/>
      <c r="E582" s="396">
        <v>6069</v>
      </c>
      <c r="F582" s="412">
        <f t="shared" si="50"/>
        <v>270000</v>
      </c>
      <c r="G582" s="412"/>
      <c r="H582" s="412"/>
      <c r="I582" s="412"/>
      <c r="J582" s="413">
        <v>270000</v>
      </c>
      <c r="K582" s="353"/>
    </row>
    <row r="583" spans="1:226" s="354" customFormat="1" ht="24.95" customHeight="1">
      <c r="A583" s="1556" t="s">
        <v>356</v>
      </c>
      <c r="B583" s="1559" t="s">
        <v>476</v>
      </c>
      <c r="C583" s="1562">
        <v>600</v>
      </c>
      <c r="D583" s="1565" t="s">
        <v>470</v>
      </c>
      <c r="E583" s="350" t="s">
        <v>315</v>
      </c>
      <c r="F583" s="351">
        <f>SUM(F584,F591)</f>
        <v>9984674</v>
      </c>
      <c r="G583" s="351">
        <f>SUM(G584,G591)</f>
        <v>1497701</v>
      </c>
      <c r="H583" s="351">
        <f>SUM(H584,H591)</f>
        <v>8486973</v>
      </c>
      <c r="I583" s="351">
        <f>SUM(I584,I591)</f>
        <v>0</v>
      </c>
      <c r="J583" s="352">
        <f>SUM(J584,J591)</f>
        <v>0</v>
      </c>
      <c r="K583" s="353"/>
    </row>
    <row r="584" spans="1:226" s="354" customFormat="1" ht="21.75" customHeight="1">
      <c r="A584" s="1557"/>
      <c r="B584" s="1560"/>
      <c r="C584" s="1563"/>
      <c r="D584" s="1566"/>
      <c r="E584" s="355" t="s">
        <v>316</v>
      </c>
      <c r="F584" s="356">
        <f>SUM(F585,F588)</f>
        <v>0</v>
      </c>
      <c r="G584" s="356">
        <f>SUM(G585,G588)</f>
        <v>0</v>
      </c>
      <c r="H584" s="356">
        <f>SUM(H585,H588)</f>
        <v>0</v>
      </c>
      <c r="I584" s="356">
        <f>SUM(I585,I588)</f>
        <v>0</v>
      </c>
      <c r="J584" s="357">
        <f>SUM(J585,J588)</f>
        <v>0</v>
      </c>
      <c r="K584" s="353"/>
    </row>
    <row r="585" spans="1:226" s="354" customFormat="1" ht="24.95" hidden="1" customHeight="1">
      <c r="A585" s="1557"/>
      <c r="B585" s="1560"/>
      <c r="C585" s="1563"/>
      <c r="D585" s="1566"/>
      <c r="E585" s="393" t="s">
        <v>333</v>
      </c>
      <c r="F585" s="394">
        <f>SUM(F586:F587)</f>
        <v>0</v>
      </c>
      <c r="G585" s="394">
        <f>SUM(G586:G587)</f>
        <v>0</v>
      </c>
      <c r="H585" s="394">
        <f>SUM(H586:H587)</f>
        <v>0</v>
      </c>
      <c r="I585" s="394">
        <f>SUM(I586:I587)</f>
        <v>0</v>
      </c>
      <c r="J585" s="395">
        <f>SUM(J586:J587)</f>
        <v>0</v>
      </c>
      <c r="K585" s="353"/>
    </row>
    <row r="586" spans="1:226" s="354" customFormat="1" ht="15" hidden="1" customHeight="1">
      <c r="A586" s="1557"/>
      <c r="B586" s="1560"/>
      <c r="C586" s="1563"/>
      <c r="D586" s="1566"/>
      <c r="E586" s="358"/>
      <c r="F586" s="359">
        <f>SUM(G586:J586)</f>
        <v>0</v>
      </c>
      <c r="G586" s="359"/>
      <c r="H586" s="359"/>
      <c r="I586" s="359"/>
      <c r="J586" s="360"/>
      <c r="K586" s="353"/>
    </row>
    <row r="587" spans="1:226" s="354" customFormat="1" ht="15" hidden="1" customHeight="1">
      <c r="A587" s="1557"/>
      <c r="B587" s="1560"/>
      <c r="C587" s="1563"/>
      <c r="D587" s="1566"/>
      <c r="E587" s="358"/>
      <c r="F587" s="359">
        <f>SUM(G587:J587)</f>
        <v>0</v>
      </c>
      <c r="G587" s="359"/>
      <c r="H587" s="359"/>
      <c r="I587" s="359"/>
      <c r="J587" s="360"/>
      <c r="K587" s="353"/>
    </row>
    <row r="588" spans="1:226" s="354" customFormat="1" ht="24.95" hidden="1" customHeight="1">
      <c r="A588" s="1557"/>
      <c r="B588" s="1560"/>
      <c r="C588" s="1563"/>
      <c r="D588" s="1566"/>
      <c r="E588" s="393" t="s">
        <v>338</v>
      </c>
      <c r="F588" s="394">
        <f>SUM(F589:F590)</f>
        <v>0</v>
      </c>
      <c r="G588" s="394">
        <f>SUM(G589:G590)</f>
        <v>0</v>
      </c>
      <c r="H588" s="394">
        <f>SUM(H589:H590)</f>
        <v>0</v>
      </c>
      <c r="I588" s="394">
        <f>SUM(I589:I590)</f>
        <v>0</v>
      </c>
      <c r="J588" s="395">
        <f>SUM(J589:J590)</f>
        <v>0</v>
      </c>
      <c r="K588" s="353"/>
    </row>
    <row r="589" spans="1:226" s="354" customFormat="1" ht="15" hidden="1" customHeight="1">
      <c r="A589" s="1557"/>
      <c r="B589" s="1560"/>
      <c r="C589" s="1563"/>
      <c r="D589" s="1566"/>
      <c r="E589" s="358"/>
      <c r="F589" s="359">
        <f>SUM(G589:J589)</f>
        <v>0</v>
      </c>
      <c r="G589" s="359"/>
      <c r="H589" s="359"/>
      <c r="I589" s="359"/>
      <c r="J589" s="360"/>
      <c r="K589" s="353"/>
    </row>
    <row r="590" spans="1:226" s="354" customFormat="1" ht="15" hidden="1" customHeight="1">
      <c r="A590" s="1557"/>
      <c r="B590" s="1560"/>
      <c r="C590" s="1563"/>
      <c r="D590" s="1566"/>
      <c r="E590" s="358"/>
      <c r="F590" s="359">
        <f>SUM(G590:J590)</f>
        <v>0</v>
      </c>
      <c r="G590" s="359"/>
      <c r="H590" s="359"/>
      <c r="I590" s="359"/>
      <c r="J590" s="360"/>
      <c r="K590" s="353"/>
    </row>
    <row r="591" spans="1:226" s="354" customFormat="1" ht="19.5" customHeight="1">
      <c r="A591" s="1557"/>
      <c r="B591" s="1560"/>
      <c r="C591" s="1563"/>
      <c r="D591" s="1566"/>
      <c r="E591" s="361" t="s">
        <v>318</v>
      </c>
      <c r="F591" s="356">
        <f>SUM(F592:F597)</f>
        <v>9984674</v>
      </c>
      <c r="G591" s="356">
        <f>SUM(G592:G597)</f>
        <v>1497701</v>
      </c>
      <c r="H591" s="356">
        <f>SUM(H592:H597)</f>
        <v>8486973</v>
      </c>
      <c r="I591" s="356">
        <f>SUM(I592:I597)</f>
        <v>0</v>
      </c>
      <c r="J591" s="357">
        <f>SUM(J592:J597)</f>
        <v>0</v>
      </c>
      <c r="K591" s="353"/>
    </row>
    <row r="592" spans="1:226" s="353" customFormat="1" ht="15" hidden="1" customHeight="1">
      <c r="A592" s="1557"/>
      <c r="B592" s="1560"/>
      <c r="C592" s="1563"/>
      <c r="D592" s="1566"/>
      <c r="E592" s="358" t="s">
        <v>471</v>
      </c>
      <c r="F592" s="359">
        <f t="shared" ref="F592:F597" si="51">SUM(G592:J592)</f>
        <v>0</v>
      </c>
      <c r="G592" s="359"/>
      <c r="H592" s="359"/>
      <c r="I592" s="359"/>
      <c r="J592" s="360"/>
    </row>
    <row r="593" spans="1:226" s="354" customFormat="1" ht="15" customHeight="1">
      <c r="A593" s="1557"/>
      <c r="B593" s="1560"/>
      <c r="C593" s="1563"/>
      <c r="D593" s="1566"/>
      <c r="E593" s="358" t="s">
        <v>414</v>
      </c>
      <c r="F593" s="359">
        <f t="shared" si="51"/>
        <v>8486973</v>
      </c>
      <c r="G593" s="359"/>
      <c r="H593" s="359">
        <v>8486973</v>
      </c>
      <c r="I593" s="359"/>
      <c r="J593" s="360"/>
      <c r="K593" s="353"/>
      <c r="L593" s="353"/>
      <c r="M593" s="353"/>
      <c r="N593" s="353"/>
      <c r="O593" s="353"/>
      <c r="P593" s="353"/>
      <c r="Q593" s="353"/>
      <c r="R593" s="353"/>
      <c r="S593" s="353"/>
      <c r="T593" s="353"/>
      <c r="U593" s="353"/>
      <c r="V593" s="353"/>
      <c r="W593" s="353"/>
      <c r="X593" s="353"/>
      <c r="Y593" s="353"/>
      <c r="Z593" s="353"/>
      <c r="AA593" s="353"/>
      <c r="AB593" s="353"/>
      <c r="AC593" s="353"/>
      <c r="AD593" s="353"/>
      <c r="AE593" s="353"/>
      <c r="AF593" s="353"/>
      <c r="AG593" s="353"/>
      <c r="AH593" s="353"/>
      <c r="AI593" s="353"/>
      <c r="AJ593" s="353"/>
      <c r="AK593" s="353"/>
      <c r="AL593" s="353"/>
      <c r="AM593" s="353"/>
      <c r="AN593" s="353"/>
      <c r="AO593" s="353"/>
      <c r="AP593" s="353"/>
      <c r="AQ593" s="353"/>
      <c r="AR593" s="353"/>
      <c r="AS593" s="353"/>
      <c r="AT593" s="353"/>
      <c r="AU593" s="353"/>
      <c r="AV593" s="353"/>
      <c r="AW593" s="353"/>
      <c r="AX593" s="353"/>
      <c r="AY593" s="353"/>
      <c r="AZ593" s="353"/>
      <c r="BA593" s="353"/>
      <c r="BB593" s="353"/>
      <c r="BC593" s="353"/>
      <c r="BD593" s="353"/>
      <c r="BE593" s="353"/>
      <c r="BF593" s="353"/>
      <c r="BG593" s="353"/>
      <c r="BH593" s="353"/>
      <c r="BI593" s="353"/>
      <c r="BJ593" s="353"/>
      <c r="BK593" s="353"/>
      <c r="BL593" s="353"/>
      <c r="BM593" s="353"/>
      <c r="BN593" s="353"/>
      <c r="BO593" s="353"/>
      <c r="BP593" s="353"/>
      <c r="BQ593" s="353"/>
      <c r="BR593" s="353"/>
      <c r="BS593" s="353"/>
      <c r="BT593" s="353"/>
      <c r="BU593" s="353"/>
      <c r="BV593" s="353"/>
      <c r="BW593" s="353"/>
      <c r="BX593" s="353"/>
      <c r="BY593" s="353"/>
      <c r="BZ593" s="353"/>
      <c r="CA593" s="353"/>
      <c r="CB593" s="353"/>
      <c r="CC593" s="353"/>
      <c r="CD593" s="353"/>
      <c r="CE593" s="353"/>
      <c r="CF593" s="353"/>
      <c r="CG593" s="353"/>
      <c r="CH593" s="353"/>
      <c r="CI593" s="353"/>
      <c r="CJ593" s="353"/>
      <c r="CK593" s="353"/>
      <c r="CL593" s="353"/>
      <c r="CM593" s="353"/>
      <c r="CN593" s="353"/>
      <c r="CO593" s="353"/>
      <c r="CP593" s="353"/>
      <c r="CQ593" s="353"/>
      <c r="CR593" s="353"/>
      <c r="CS593" s="353"/>
      <c r="CT593" s="353"/>
      <c r="CU593" s="353"/>
      <c r="CV593" s="353"/>
      <c r="CW593" s="353"/>
      <c r="CX593" s="353"/>
      <c r="CY593" s="353"/>
      <c r="CZ593" s="353"/>
      <c r="DA593" s="353"/>
      <c r="DB593" s="353"/>
      <c r="DC593" s="353"/>
      <c r="DD593" s="353"/>
      <c r="DE593" s="353"/>
      <c r="DF593" s="353"/>
      <c r="DG593" s="353"/>
      <c r="DH593" s="353"/>
      <c r="DI593" s="353"/>
      <c r="DJ593" s="353"/>
      <c r="DK593" s="353"/>
      <c r="DL593" s="353"/>
      <c r="DM593" s="353"/>
      <c r="DN593" s="353"/>
      <c r="DO593" s="353"/>
      <c r="DP593" s="353"/>
      <c r="DQ593" s="353"/>
      <c r="DR593" s="353"/>
      <c r="DS593" s="353"/>
      <c r="DT593" s="353"/>
      <c r="DU593" s="353"/>
      <c r="DV593" s="353"/>
      <c r="DW593" s="353"/>
      <c r="DX593" s="353"/>
      <c r="DY593" s="353"/>
      <c r="DZ593" s="353"/>
      <c r="EA593" s="353"/>
      <c r="EB593" s="353"/>
      <c r="EC593" s="353"/>
      <c r="ED593" s="353"/>
      <c r="EE593" s="353"/>
      <c r="EF593" s="353"/>
      <c r="EG593" s="353"/>
      <c r="EH593" s="353"/>
      <c r="EI593" s="353"/>
      <c r="EJ593" s="353"/>
      <c r="EK593" s="353"/>
      <c r="EL593" s="353"/>
      <c r="EM593" s="353"/>
      <c r="EN593" s="353"/>
      <c r="EO593" s="353"/>
      <c r="EP593" s="353"/>
      <c r="EQ593" s="353"/>
      <c r="ER593" s="353"/>
      <c r="ES593" s="353"/>
      <c r="ET593" s="353"/>
      <c r="EU593" s="353"/>
      <c r="EV593" s="353"/>
      <c r="EW593" s="353"/>
      <c r="EX593" s="353"/>
      <c r="EY593" s="353"/>
      <c r="EZ593" s="353"/>
      <c r="FA593" s="353"/>
      <c r="FB593" s="353"/>
      <c r="FC593" s="353"/>
      <c r="FD593" s="353"/>
      <c r="FE593" s="353"/>
      <c r="FF593" s="353"/>
      <c r="FG593" s="353"/>
      <c r="FH593" s="353"/>
      <c r="FI593" s="353"/>
      <c r="FJ593" s="353"/>
      <c r="FK593" s="353"/>
      <c r="FL593" s="353"/>
      <c r="FM593" s="353"/>
      <c r="FN593" s="353"/>
      <c r="FO593" s="353"/>
      <c r="FP593" s="353"/>
      <c r="FQ593" s="353"/>
      <c r="FR593" s="353"/>
      <c r="FS593" s="353"/>
      <c r="FT593" s="353"/>
      <c r="FU593" s="353"/>
      <c r="FV593" s="353"/>
      <c r="FW593" s="353"/>
      <c r="FX593" s="353"/>
      <c r="FY593" s="353"/>
      <c r="FZ593" s="353"/>
      <c r="GA593" s="353"/>
      <c r="GB593" s="353"/>
      <c r="GC593" s="353"/>
      <c r="GD593" s="353"/>
      <c r="GE593" s="353"/>
      <c r="GF593" s="353"/>
      <c r="GG593" s="353"/>
      <c r="GH593" s="353"/>
      <c r="GI593" s="353"/>
      <c r="GJ593" s="353"/>
      <c r="GK593" s="353"/>
      <c r="GL593" s="353"/>
      <c r="GM593" s="353"/>
      <c r="GN593" s="353"/>
      <c r="GO593" s="353"/>
      <c r="GP593" s="353"/>
      <c r="GQ593" s="353"/>
      <c r="GR593" s="353"/>
      <c r="GS593" s="353"/>
      <c r="GT593" s="353"/>
      <c r="GU593" s="353"/>
      <c r="GV593" s="353"/>
      <c r="GW593" s="353"/>
      <c r="GX593" s="353"/>
      <c r="GY593" s="353"/>
      <c r="GZ593" s="353"/>
      <c r="HA593" s="353"/>
      <c r="HB593" s="353"/>
      <c r="HC593" s="353"/>
      <c r="HD593" s="353"/>
      <c r="HE593" s="353"/>
      <c r="HF593" s="353"/>
      <c r="HG593" s="353"/>
      <c r="HH593" s="353"/>
      <c r="HI593" s="353"/>
      <c r="HJ593" s="353"/>
      <c r="HK593" s="353"/>
      <c r="HL593" s="353"/>
      <c r="HM593" s="353"/>
      <c r="HN593" s="353"/>
      <c r="HO593" s="353"/>
      <c r="HP593" s="353"/>
      <c r="HQ593" s="353"/>
      <c r="HR593" s="353"/>
    </row>
    <row r="594" spans="1:226" s="354" customFormat="1" ht="15" customHeight="1">
      <c r="A594" s="1557"/>
      <c r="B594" s="1560"/>
      <c r="C594" s="1563"/>
      <c r="D594" s="1566"/>
      <c r="E594" s="411">
        <v>6059</v>
      </c>
      <c r="F594" s="412">
        <f t="shared" si="51"/>
        <v>1497701</v>
      </c>
      <c r="G594" s="412">
        <v>1497701</v>
      </c>
      <c r="H594" s="412"/>
      <c r="I594" s="412"/>
      <c r="J594" s="413"/>
      <c r="K594" s="353"/>
    </row>
    <row r="595" spans="1:226" s="354" customFormat="1" ht="15" hidden="1" customHeight="1">
      <c r="A595" s="1557"/>
      <c r="B595" s="1560"/>
      <c r="C595" s="1563"/>
      <c r="D595" s="1566"/>
      <c r="E595" s="411">
        <v>6060</v>
      </c>
      <c r="F595" s="412">
        <f t="shared" si="51"/>
        <v>0</v>
      </c>
      <c r="G595" s="412"/>
      <c r="H595" s="412"/>
      <c r="I595" s="412"/>
      <c r="J595" s="413"/>
      <c r="K595" s="353"/>
    </row>
    <row r="596" spans="1:226" s="354" customFormat="1" ht="15" hidden="1" customHeight="1">
      <c r="A596" s="1557"/>
      <c r="B596" s="1560"/>
      <c r="C596" s="1563"/>
      <c r="D596" s="1566"/>
      <c r="E596" s="363" t="s">
        <v>408</v>
      </c>
      <c r="F596" s="412">
        <f t="shared" si="51"/>
        <v>0</v>
      </c>
      <c r="G596" s="412"/>
      <c r="H596" s="412"/>
      <c r="I596" s="412"/>
      <c r="J596" s="413"/>
      <c r="K596" s="353"/>
    </row>
    <row r="597" spans="1:226" s="354" customFormat="1" ht="15" hidden="1" customHeight="1">
      <c r="A597" s="1558"/>
      <c r="B597" s="1561"/>
      <c r="C597" s="1564"/>
      <c r="D597" s="1567"/>
      <c r="E597" s="396">
        <v>6069</v>
      </c>
      <c r="F597" s="412">
        <f t="shared" si="51"/>
        <v>0</v>
      </c>
      <c r="G597" s="412"/>
      <c r="H597" s="412"/>
      <c r="I597" s="412"/>
      <c r="J597" s="413"/>
      <c r="K597" s="353"/>
    </row>
    <row r="598" spans="1:226" s="354" customFormat="1" ht="24.95" customHeight="1">
      <c r="A598" s="1556" t="s">
        <v>360</v>
      </c>
      <c r="B598" s="1559" t="s">
        <v>477</v>
      </c>
      <c r="C598" s="1562">
        <v>600</v>
      </c>
      <c r="D598" s="1565" t="s">
        <v>470</v>
      </c>
      <c r="E598" s="350" t="s">
        <v>315</v>
      </c>
      <c r="F598" s="351">
        <f>SUM(F599,F606)</f>
        <v>25794574</v>
      </c>
      <c r="G598" s="351">
        <f>SUM(G599,G606)</f>
        <v>3869186</v>
      </c>
      <c r="H598" s="351">
        <f>SUM(H599,H606)</f>
        <v>21925388</v>
      </c>
      <c r="I598" s="351">
        <f>SUM(I599,I606)</f>
        <v>0</v>
      </c>
      <c r="J598" s="352">
        <f>SUM(J599,J606)</f>
        <v>0</v>
      </c>
      <c r="K598" s="353"/>
    </row>
    <row r="599" spans="1:226" s="354" customFormat="1" ht="21" customHeight="1">
      <c r="A599" s="1557"/>
      <c r="B599" s="1560"/>
      <c r="C599" s="1563"/>
      <c r="D599" s="1566"/>
      <c r="E599" s="355" t="s">
        <v>316</v>
      </c>
      <c r="F599" s="356">
        <f>SUM(F600,F603)</f>
        <v>0</v>
      </c>
      <c r="G599" s="356">
        <f>SUM(G600,G603)</f>
        <v>0</v>
      </c>
      <c r="H599" s="356">
        <f>SUM(H600,H603)</f>
        <v>0</v>
      </c>
      <c r="I599" s="356">
        <f>SUM(I600,I603)</f>
        <v>0</v>
      </c>
      <c r="J599" s="357">
        <f>SUM(J600,J603)</f>
        <v>0</v>
      </c>
      <c r="K599" s="353"/>
    </row>
    <row r="600" spans="1:226" s="354" customFormat="1" ht="24.95" hidden="1" customHeight="1">
      <c r="A600" s="1557"/>
      <c r="B600" s="1560"/>
      <c r="C600" s="1563"/>
      <c r="D600" s="1566"/>
      <c r="E600" s="393" t="s">
        <v>333</v>
      </c>
      <c r="F600" s="394">
        <f>SUM(F601:F602)</f>
        <v>0</v>
      </c>
      <c r="G600" s="394">
        <f>SUM(G601:G602)</f>
        <v>0</v>
      </c>
      <c r="H600" s="394">
        <f>SUM(H601:H602)</f>
        <v>0</v>
      </c>
      <c r="I600" s="394">
        <f>SUM(I601:I602)</f>
        <v>0</v>
      </c>
      <c r="J600" s="395">
        <f>SUM(J601:J602)</f>
        <v>0</v>
      </c>
      <c r="K600" s="353"/>
    </row>
    <row r="601" spans="1:226" s="354" customFormat="1" ht="15" hidden="1" customHeight="1">
      <c r="A601" s="1557"/>
      <c r="B601" s="1560"/>
      <c r="C601" s="1563"/>
      <c r="D601" s="1566"/>
      <c r="E601" s="358"/>
      <c r="F601" s="359">
        <f>SUM(G601:J601)</f>
        <v>0</v>
      </c>
      <c r="G601" s="359"/>
      <c r="H601" s="359"/>
      <c r="I601" s="359"/>
      <c r="J601" s="360"/>
      <c r="K601" s="353"/>
    </row>
    <row r="602" spans="1:226" s="354" customFormat="1" ht="15" hidden="1" customHeight="1">
      <c r="A602" s="1557"/>
      <c r="B602" s="1560"/>
      <c r="C602" s="1563"/>
      <c r="D602" s="1566"/>
      <c r="E602" s="358"/>
      <c r="F602" s="359">
        <f>SUM(G602:J602)</f>
        <v>0</v>
      </c>
      <c r="G602" s="359"/>
      <c r="H602" s="359"/>
      <c r="I602" s="359"/>
      <c r="J602" s="360"/>
      <c r="K602" s="353"/>
    </row>
    <row r="603" spans="1:226" s="354" customFormat="1" ht="24.95" hidden="1" customHeight="1">
      <c r="A603" s="1557"/>
      <c r="B603" s="1560"/>
      <c r="C603" s="1563"/>
      <c r="D603" s="1566"/>
      <c r="E603" s="393" t="s">
        <v>338</v>
      </c>
      <c r="F603" s="394">
        <f>SUM(F604:F605)</f>
        <v>0</v>
      </c>
      <c r="G603" s="394">
        <f>SUM(G604:G605)</f>
        <v>0</v>
      </c>
      <c r="H603" s="394">
        <f>SUM(H604:H605)</f>
        <v>0</v>
      </c>
      <c r="I603" s="394">
        <f>SUM(I604:I605)</f>
        <v>0</v>
      </c>
      <c r="J603" s="395">
        <f>SUM(J604:J605)</f>
        <v>0</v>
      </c>
      <c r="K603" s="353"/>
    </row>
    <row r="604" spans="1:226" s="354" customFormat="1" ht="15" hidden="1" customHeight="1">
      <c r="A604" s="1557"/>
      <c r="B604" s="1560"/>
      <c r="C604" s="1563"/>
      <c r="D604" s="1566"/>
      <c r="E604" s="358"/>
      <c r="F604" s="359">
        <f>SUM(G604:J604)</f>
        <v>0</v>
      </c>
      <c r="G604" s="359"/>
      <c r="H604" s="359"/>
      <c r="I604" s="359"/>
      <c r="J604" s="360"/>
      <c r="K604" s="353"/>
    </row>
    <row r="605" spans="1:226" s="354" customFormat="1" ht="15" hidden="1" customHeight="1">
      <c r="A605" s="1557"/>
      <c r="B605" s="1560"/>
      <c r="C605" s="1563"/>
      <c r="D605" s="1566"/>
      <c r="E605" s="358"/>
      <c r="F605" s="359">
        <f>SUM(G605:J605)</f>
        <v>0</v>
      </c>
      <c r="G605" s="359"/>
      <c r="H605" s="359"/>
      <c r="I605" s="359"/>
      <c r="J605" s="360"/>
      <c r="K605" s="353"/>
    </row>
    <row r="606" spans="1:226" s="354" customFormat="1" ht="20.25" customHeight="1">
      <c r="A606" s="1557"/>
      <c r="B606" s="1560"/>
      <c r="C606" s="1563"/>
      <c r="D606" s="1566"/>
      <c r="E606" s="361" t="s">
        <v>318</v>
      </c>
      <c r="F606" s="356">
        <f>SUM(F607:F612)</f>
        <v>25794574</v>
      </c>
      <c r="G606" s="356">
        <f>SUM(G607:G612)</f>
        <v>3869186</v>
      </c>
      <c r="H606" s="356">
        <f>SUM(H607:H612)</f>
        <v>21925388</v>
      </c>
      <c r="I606" s="356">
        <f>SUM(I607:I612)</f>
        <v>0</v>
      </c>
      <c r="J606" s="357">
        <f>SUM(J607:J612)</f>
        <v>0</v>
      </c>
      <c r="K606" s="353"/>
    </row>
    <row r="607" spans="1:226" s="353" customFormat="1" ht="15" hidden="1" customHeight="1">
      <c r="A607" s="1557"/>
      <c r="B607" s="1560"/>
      <c r="C607" s="1563"/>
      <c r="D607" s="1566"/>
      <c r="E607" s="358" t="s">
        <v>471</v>
      </c>
      <c r="F607" s="359">
        <f>SUM(G607:J607)</f>
        <v>0</v>
      </c>
      <c r="G607" s="359"/>
      <c r="H607" s="359"/>
      <c r="I607" s="359"/>
      <c r="J607" s="360"/>
    </row>
    <row r="608" spans="1:226" s="353" customFormat="1" ht="15" customHeight="1">
      <c r="A608" s="1557"/>
      <c r="B608" s="1560"/>
      <c r="C608" s="1563"/>
      <c r="D608" s="1566"/>
      <c r="E608" s="358" t="s">
        <v>414</v>
      </c>
      <c r="F608" s="359">
        <f t="shared" ref="F608:F610" si="52">SUM(G608:J608)</f>
        <v>17845388</v>
      </c>
      <c r="G608" s="359"/>
      <c r="H608" s="359">
        <v>17845388</v>
      </c>
      <c r="I608" s="359"/>
      <c r="J608" s="360"/>
    </row>
    <row r="609" spans="1:226" s="353" customFormat="1" ht="15" customHeight="1">
      <c r="A609" s="1557"/>
      <c r="B609" s="1560"/>
      <c r="C609" s="1563"/>
      <c r="D609" s="1566"/>
      <c r="E609" s="358" t="s">
        <v>472</v>
      </c>
      <c r="F609" s="359">
        <f t="shared" si="52"/>
        <v>3149186</v>
      </c>
      <c r="G609" s="359">
        <v>3149186</v>
      </c>
      <c r="H609" s="359"/>
      <c r="I609" s="359"/>
      <c r="J609" s="360"/>
    </row>
    <row r="610" spans="1:226" s="353" customFormat="1" ht="15" hidden="1" customHeight="1">
      <c r="A610" s="1557"/>
      <c r="B610" s="1560"/>
      <c r="C610" s="1563"/>
      <c r="D610" s="1566"/>
      <c r="E610" s="358" t="s">
        <v>407</v>
      </c>
      <c r="F610" s="359">
        <f t="shared" si="52"/>
        <v>0</v>
      </c>
      <c r="G610" s="359"/>
      <c r="H610" s="359"/>
      <c r="I610" s="359"/>
      <c r="J610" s="360"/>
    </row>
    <row r="611" spans="1:226" s="354" customFormat="1" ht="15" customHeight="1">
      <c r="A611" s="1557"/>
      <c r="B611" s="1560"/>
      <c r="C611" s="1563"/>
      <c r="D611" s="1566"/>
      <c r="E611" s="358" t="s">
        <v>408</v>
      </c>
      <c r="F611" s="359">
        <f>SUM(G611:J611)</f>
        <v>4080000</v>
      </c>
      <c r="G611" s="359"/>
      <c r="H611" s="359">
        <v>4080000</v>
      </c>
      <c r="I611" s="359"/>
      <c r="J611" s="360"/>
      <c r="K611" s="353"/>
      <c r="L611" s="353"/>
      <c r="M611" s="353"/>
      <c r="N611" s="353"/>
      <c r="O611" s="353"/>
      <c r="P611" s="353"/>
      <c r="Q611" s="353"/>
      <c r="R611" s="353"/>
      <c r="S611" s="353"/>
      <c r="T611" s="353"/>
      <c r="U611" s="353"/>
      <c r="V611" s="353"/>
      <c r="W611" s="353"/>
      <c r="X611" s="353"/>
      <c r="Y611" s="353"/>
      <c r="Z611" s="353"/>
      <c r="AA611" s="353"/>
      <c r="AB611" s="353"/>
      <c r="AC611" s="353"/>
      <c r="AD611" s="353"/>
      <c r="AE611" s="353"/>
      <c r="AF611" s="353"/>
      <c r="AG611" s="353"/>
      <c r="AH611" s="353"/>
      <c r="AI611" s="353"/>
      <c r="AJ611" s="353"/>
      <c r="AK611" s="353"/>
      <c r="AL611" s="353"/>
      <c r="AM611" s="353"/>
      <c r="AN611" s="353"/>
      <c r="AO611" s="353"/>
      <c r="AP611" s="353"/>
      <c r="AQ611" s="353"/>
      <c r="AR611" s="353"/>
      <c r="AS611" s="353"/>
      <c r="AT611" s="353"/>
      <c r="AU611" s="353"/>
      <c r="AV611" s="353"/>
      <c r="AW611" s="353"/>
      <c r="AX611" s="353"/>
      <c r="AY611" s="353"/>
      <c r="AZ611" s="353"/>
      <c r="BA611" s="353"/>
      <c r="BB611" s="353"/>
      <c r="BC611" s="353"/>
      <c r="BD611" s="353"/>
      <c r="BE611" s="353"/>
      <c r="BF611" s="353"/>
      <c r="BG611" s="353"/>
      <c r="BH611" s="353"/>
      <c r="BI611" s="353"/>
      <c r="BJ611" s="353"/>
      <c r="BK611" s="353"/>
      <c r="BL611" s="353"/>
      <c r="BM611" s="353"/>
      <c r="BN611" s="353"/>
      <c r="BO611" s="353"/>
      <c r="BP611" s="353"/>
      <c r="BQ611" s="353"/>
      <c r="BR611" s="353"/>
      <c r="BS611" s="353"/>
      <c r="BT611" s="353"/>
      <c r="BU611" s="353"/>
      <c r="BV611" s="353"/>
      <c r="BW611" s="353"/>
      <c r="BX611" s="353"/>
      <c r="BY611" s="353"/>
      <c r="BZ611" s="353"/>
      <c r="CA611" s="353"/>
      <c r="CB611" s="353"/>
      <c r="CC611" s="353"/>
      <c r="CD611" s="353"/>
      <c r="CE611" s="353"/>
      <c r="CF611" s="353"/>
      <c r="CG611" s="353"/>
      <c r="CH611" s="353"/>
      <c r="CI611" s="353"/>
      <c r="CJ611" s="353"/>
      <c r="CK611" s="353"/>
      <c r="CL611" s="353"/>
      <c r="CM611" s="353"/>
      <c r="CN611" s="353"/>
      <c r="CO611" s="353"/>
      <c r="CP611" s="353"/>
      <c r="CQ611" s="353"/>
      <c r="CR611" s="353"/>
      <c r="CS611" s="353"/>
      <c r="CT611" s="353"/>
      <c r="CU611" s="353"/>
      <c r="CV611" s="353"/>
      <c r="CW611" s="353"/>
      <c r="CX611" s="353"/>
      <c r="CY611" s="353"/>
      <c r="CZ611" s="353"/>
      <c r="DA611" s="353"/>
      <c r="DB611" s="353"/>
      <c r="DC611" s="353"/>
      <c r="DD611" s="353"/>
      <c r="DE611" s="353"/>
      <c r="DF611" s="353"/>
      <c r="DG611" s="353"/>
      <c r="DH611" s="353"/>
      <c r="DI611" s="353"/>
      <c r="DJ611" s="353"/>
      <c r="DK611" s="353"/>
      <c r="DL611" s="353"/>
      <c r="DM611" s="353"/>
      <c r="DN611" s="353"/>
      <c r="DO611" s="353"/>
      <c r="DP611" s="353"/>
      <c r="DQ611" s="353"/>
      <c r="DR611" s="353"/>
      <c r="DS611" s="353"/>
      <c r="DT611" s="353"/>
      <c r="DU611" s="353"/>
      <c r="DV611" s="353"/>
      <c r="DW611" s="353"/>
      <c r="DX611" s="353"/>
      <c r="DY611" s="353"/>
      <c r="DZ611" s="353"/>
      <c r="EA611" s="353"/>
      <c r="EB611" s="353"/>
      <c r="EC611" s="353"/>
      <c r="ED611" s="353"/>
      <c r="EE611" s="353"/>
      <c r="EF611" s="353"/>
      <c r="EG611" s="353"/>
      <c r="EH611" s="353"/>
      <c r="EI611" s="353"/>
      <c r="EJ611" s="353"/>
      <c r="EK611" s="353"/>
      <c r="EL611" s="353"/>
      <c r="EM611" s="353"/>
      <c r="EN611" s="353"/>
      <c r="EO611" s="353"/>
      <c r="EP611" s="353"/>
      <c r="EQ611" s="353"/>
      <c r="ER611" s="353"/>
      <c r="ES611" s="353"/>
      <c r="ET611" s="353"/>
      <c r="EU611" s="353"/>
      <c r="EV611" s="353"/>
      <c r="EW611" s="353"/>
      <c r="EX611" s="353"/>
      <c r="EY611" s="353"/>
      <c r="EZ611" s="353"/>
      <c r="FA611" s="353"/>
      <c r="FB611" s="353"/>
      <c r="FC611" s="353"/>
      <c r="FD611" s="353"/>
      <c r="FE611" s="353"/>
      <c r="FF611" s="353"/>
      <c r="FG611" s="353"/>
      <c r="FH611" s="353"/>
      <c r="FI611" s="353"/>
      <c r="FJ611" s="353"/>
      <c r="FK611" s="353"/>
      <c r="FL611" s="353"/>
      <c r="FM611" s="353"/>
      <c r="FN611" s="353"/>
      <c r="FO611" s="353"/>
      <c r="FP611" s="353"/>
      <c r="FQ611" s="353"/>
      <c r="FR611" s="353"/>
      <c r="FS611" s="353"/>
      <c r="FT611" s="353"/>
      <c r="FU611" s="353"/>
      <c r="FV611" s="353"/>
      <c r="FW611" s="353"/>
      <c r="FX611" s="353"/>
      <c r="FY611" s="353"/>
      <c r="FZ611" s="353"/>
      <c r="GA611" s="353"/>
      <c r="GB611" s="353"/>
      <c r="GC611" s="353"/>
      <c r="GD611" s="353"/>
      <c r="GE611" s="353"/>
      <c r="GF611" s="353"/>
      <c r="GG611" s="353"/>
      <c r="GH611" s="353"/>
      <c r="GI611" s="353"/>
      <c r="GJ611" s="353"/>
      <c r="GK611" s="353"/>
      <c r="GL611" s="353"/>
      <c r="GM611" s="353"/>
      <c r="GN611" s="353"/>
      <c r="GO611" s="353"/>
      <c r="GP611" s="353"/>
      <c r="GQ611" s="353"/>
      <c r="GR611" s="353"/>
      <c r="GS611" s="353"/>
      <c r="GT611" s="353"/>
      <c r="GU611" s="353"/>
      <c r="GV611" s="353"/>
      <c r="GW611" s="353"/>
      <c r="GX611" s="353"/>
      <c r="GY611" s="353"/>
      <c r="GZ611" s="353"/>
      <c r="HA611" s="353"/>
      <c r="HB611" s="353"/>
      <c r="HC611" s="353"/>
      <c r="HD611" s="353"/>
      <c r="HE611" s="353"/>
      <c r="HF611" s="353"/>
      <c r="HG611" s="353"/>
      <c r="HH611" s="353"/>
      <c r="HI611" s="353"/>
      <c r="HJ611" s="353"/>
      <c r="HK611" s="353"/>
      <c r="HL611" s="353"/>
      <c r="HM611" s="353"/>
      <c r="HN611" s="353"/>
      <c r="HO611" s="353"/>
      <c r="HP611" s="353"/>
      <c r="HQ611" s="353"/>
      <c r="HR611" s="353"/>
    </row>
    <row r="612" spans="1:226" s="354" customFormat="1" ht="15" customHeight="1">
      <c r="A612" s="1558"/>
      <c r="B612" s="1561"/>
      <c r="C612" s="1564"/>
      <c r="D612" s="1567"/>
      <c r="E612" s="396">
        <v>6069</v>
      </c>
      <c r="F612" s="359">
        <f>SUM(G612:J612)</f>
        <v>720000</v>
      </c>
      <c r="G612" s="359">
        <v>720000</v>
      </c>
      <c r="H612" s="359"/>
      <c r="I612" s="359"/>
      <c r="J612" s="360"/>
      <c r="K612" s="353"/>
    </row>
    <row r="613" spans="1:226" s="354" customFormat="1" ht="24.95" customHeight="1">
      <c r="A613" s="1556" t="s">
        <v>368</v>
      </c>
      <c r="B613" s="1559" t="s">
        <v>478</v>
      </c>
      <c r="C613" s="1562">
        <v>600</v>
      </c>
      <c r="D613" s="1565" t="s">
        <v>470</v>
      </c>
      <c r="E613" s="350" t="s">
        <v>315</v>
      </c>
      <c r="F613" s="351">
        <f>SUM(F614,F621)</f>
        <v>18000000</v>
      </c>
      <c r="G613" s="351">
        <f>SUM(G614,G621)</f>
        <v>2700000</v>
      </c>
      <c r="H613" s="351">
        <f>SUM(H614,H621)</f>
        <v>15300000</v>
      </c>
      <c r="I613" s="351">
        <f>SUM(I614,I621)</f>
        <v>0</v>
      </c>
      <c r="J613" s="352">
        <f>SUM(J614,J621)</f>
        <v>0</v>
      </c>
      <c r="K613" s="353"/>
    </row>
    <row r="614" spans="1:226" s="354" customFormat="1" ht="24.95" customHeight="1">
      <c r="A614" s="1557"/>
      <c r="B614" s="1560"/>
      <c r="C614" s="1563"/>
      <c r="D614" s="1566"/>
      <c r="E614" s="355" t="s">
        <v>316</v>
      </c>
      <c r="F614" s="356">
        <f>SUM(F615,F618)</f>
        <v>0</v>
      </c>
      <c r="G614" s="356">
        <f>SUM(G615,G618)</f>
        <v>0</v>
      </c>
      <c r="H614" s="356">
        <f>SUM(H615,H618)</f>
        <v>0</v>
      </c>
      <c r="I614" s="356">
        <f>SUM(I615,I618)</f>
        <v>0</v>
      </c>
      <c r="J614" s="357">
        <f>SUM(J615,J618)</f>
        <v>0</v>
      </c>
      <c r="K614" s="353"/>
    </row>
    <row r="615" spans="1:226" s="354" customFormat="1" ht="24.95" hidden="1" customHeight="1">
      <c r="A615" s="1557"/>
      <c r="B615" s="1560"/>
      <c r="C615" s="1563"/>
      <c r="D615" s="1566"/>
      <c r="E615" s="393" t="s">
        <v>333</v>
      </c>
      <c r="F615" s="394">
        <f>SUM(F616:F617)</f>
        <v>0</v>
      </c>
      <c r="G615" s="394">
        <f>SUM(G616:G617)</f>
        <v>0</v>
      </c>
      <c r="H615" s="394">
        <f>SUM(H616:H617)</f>
        <v>0</v>
      </c>
      <c r="I615" s="394">
        <f>SUM(I616:I617)</f>
        <v>0</v>
      </c>
      <c r="J615" s="395">
        <f>SUM(J616:J617)</f>
        <v>0</v>
      </c>
      <c r="K615" s="353"/>
    </row>
    <row r="616" spans="1:226" s="354" customFormat="1" ht="15" hidden="1" customHeight="1">
      <c r="A616" s="1557"/>
      <c r="B616" s="1560"/>
      <c r="C616" s="1563"/>
      <c r="D616" s="1566"/>
      <c r="E616" s="358"/>
      <c r="F616" s="359">
        <f>SUM(G616:J616)</f>
        <v>0</v>
      </c>
      <c r="G616" s="359"/>
      <c r="H616" s="359"/>
      <c r="I616" s="359"/>
      <c r="J616" s="360"/>
      <c r="K616" s="353"/>
    </row>
    <row r="617" spans="1:226" s="354" customFormat="1" ht="15" hidden="1" customHeight="1">
      <c r="A617" s="1557"/>
      <c r="B617" s="1560"/>
      <c r="C617" s="1563"/>
      <c r="D617" s="1566"/>
      <c r="E617" s="358"/>
      <c r="F617" s="359">
        <f>SUM(G617:J617)</f>
        <v>0</v>
      </c>
      <c r="G617" s="359"/>
      <c r="H617" s="359"/>
      <c r="I617" s="359"/>
      <c r="J617" s="360"/>
      <c r="K617" s="353"/>
    </row>
    <row r="618" spans="1:226" s="354" customFormat="1" ht="24.95" hidden="1" customHeight="1">
      <c r="A618" s="1557"/>
      <c r="B618" s="1560"/>
      <c r="C618" s="1563"/>
      <c r="D618" s="1566"/>
      <c r="E618" s="393" t="s">
        <v>338</v>
      </c>
      <c r="F618" s="394">
        <f>SUM(F619:F620)</f>
        <v>0</v>
      </c>
      <c r="G618" s="394">
        <f>SUM(G619:G620)</f>
        <v>0</v>
      </c>
      <c r="H618" s="394">
        <f>SUM(H619:H620)</f>
        <v>0</v>
      </c>
      <c r="I618" s="394">
        <f>SUM(I619:I620)</f>
        <v>0</v>
      </c>
      <c r="J618" s="395">
        <f>SUM(J619:J620)</f>
        <v>0</v>
      </c>
      <c r="K618" s="353"/>
    </row>
    <row r="619" spans="1:226" s="354" customFormat="1" ht="15" hidden="1" customHeight="1">
      <c r="A619" s="1557"/>
      <c r="B619" s="1560"/>
      <c r="C619" s="1563"/>
      <c r="D619" s="1566"/>
      <c r="E619" s="358"/>
      <c r="F619" s="359">
        <f>SUM(G619:J619)</f>
        <v>0</v>
      </c>
      <c r="G619" s="359"/>
      <c r="H619" s="359"/>
      <c r="I619" s="359"/>
      <c r="J619" s="360"/>
      <c r="K619" s="353"/>
    </row>
    <row r="620" spans="1:226" s="354" customFormat="1" ht="15" hidden="1" customHeight="1">
      <c r="A620" s="1557"/>
      <c r="B620" s="1560"/>
      <c r="C620" s="1563"/>
      <c r="D620" s="1566"/>
      <c r="E620" s="358"/>
      <c r="F620" s="359">
        <f>SUM(G620:J620)</f>
        <v>0</v>
      </c>
      <c r="G620" s="359"/>
      <c r="H620" s="359"/>
      <c r="I620" s="359"/>
      <c r="J620" s="360"/>
      <c r="K620" s="353"/>
    </row>
    <row r="621" spans="1:226" s="354" customFormat="1" ht="24.95" customHeight="1">
      <c r="A621" s="1557"/>
      <c r="B621" s="1560"/>
      <c r="C621" s="1563"/>
      <c r="D621" s="1566"/>
      <c r="E621" s="361" t="s">
        <v>318</v>
      </c>
      <c r="F621" s="356">
        <f>SUM(F622:F627)</f>
        <v>18000000</v>
      </c>
      <c r="G621" s="356">
        <f>SUM(G622:G627)</f>
        <v>2700000</v>
      </c>
      <c r="H621" s="356">
        <f>SUM(H622:H627)</f>
        <v>15300000</v>
      </c>
      <c r="I621" s="356">
        <f>SUM(I622:I627)</f>
        <v>0</v>
      </c>
      <c r="J621" s="357">
        <f>SUM(J622:J627)</f>
        <v>0</v>
      </c>
      <c r="K621" s="353"/>
    </row>
    <row r="622" spans="1:226" s="353" customFormat="1" ht="15" hidden="1" customHeight="1">
      <c r="A622" s="1557"/>
      <c r="B622" s="1560"/>
      <c r="C622" s="1563"/>
      <c r="D622" s="1566"/>
      <c r="E622" s="358" t="s">
        <v>471</v>
      </c>
      <c r="F622" s="359">
        <f t="shared" ref="F622:F627" si="53">SUM(G622:J622)</f>
        <v>0</v>
      </c>
      <c r="G622" s="359"/>
      <c r="H622" s="359"/>
      <c r="I622" s="359"/>
      <c r="J622" s="360"/>
    </row>
    <row r="623" spans="1:226" s="354" customFormat="1" ht="15" customHeight="1">
      <c r="A623" s="1557"/>
      <c r="B623" s="1560"/>
      <c r="C623" s="1563"/>
      <c r="D623" s="1566"/>
      <c r="E623" s="358" t="s">
        <v>414</v>
      </c>
      <c r="F623" s="359">
        <f t="shared" si="53"/>
        <v>12325000</v>
      </c>
      <c r="G623" s="359"/>
      <c r="H623" s="359">
        <v>12325000</v>
      </c>
      <c r="I623" s="359"/>
      <c r="J623" s="360"/>
      <c r="K623" s="353"/>
      <c r="L623" s="353"/>
      <c r="M623" s="353"/>
      <c r="N623" s="353"/>
      <c r="O623" s="353"/>
      <c r="P623" s="353"/>
      <c r="Q623" s="353"/>
      <c r="R623" s="353"/>
      <c r="S623" s="353"/>
      <c r="T623" s="353"/>
      <c r="U623" s="353"/>
      <c r="V623" s="353"/>
      <c r="W623" s="353"/>
      <c r="X623" s="353"/>
      <c r="Y623" s="353"/>
      <c r="Z623" s="353"/>
      <c r="AA623" s="353"/>
      <c r="AB623" s="353"/>
      <c r="AC623" s="353"/>
      <c r="AD623" s="353"/>
      <c r="AE623" s="353"/>
      <c r="AF623" s="353"/>
      <c r="AG623" s="353"/>
      <c r="AH623" s="353"/>
      <c r="AI623" s="353"/>
      <c r="AJ623" s="353"/>
      <c r="AK623" s="353"/>
      <c r="AL623" s="353"/>
      <c r="AM623" s="353"/>
      <c r="AN623" s="353"/>
      <c r="AO623" s="353"/>
      <c r="AP623" s="353"/>
      <c r="AQ623" s="353"/>
      <c r="AR623" s="353"/>
      <c r="AS623" s="353"/>
      <c r="AT623" s="353"/>
      <c r="AU623" s="353"/>
      <c r="AV623" s="353"/>
      <c r="AW623" s="353"/>
      <c r="AX623" s="353"/>
      <c r="AY623" s="353"/>
      <c r="AZ623" s="353"/>
      <c r="BA623" s="353"/>
      <c r="BB623" s="353"/>
      <c r="BC623" s="353"/>
      <c r="BD623" s="353"/>
      <c r="BE623" s="353"/>
      <c r="BF623" s="353"/>
      <c r="BG623" s="353"/>
      <c r="BH623" s="353"/>
      <c r="BI623" s="353"/>
      <c r="BJ623" s="353"/>
      <c r="BK623" s="353"/>
      <c r="BL623" s="353"/>
      <c r="BM623" s="353"/>
      <c r="BN623" s="353"/>
      <c r="BO623" s="353"/>
      <c r="BP623" s="353"/>
      <c r="BQ623" s="353"/>
      <c r="BR623" s="353"/>
      <c r="BS623" s="353"/>
      <c r="BT623" s="353"/>
      <c r="BU623" s="353"/>
      <c r="BV623" s="353"/>
      <c r="BW623" s="353"/>
      <c r="BX623" s="353"/>
      <c r="BY623" s="353"/>
      <c r="BZ623" s="353"/>
      <c r="CA623" s="353"/>
      <c r="CB623" s="353"/>
      <c r="CC623" s="353"/>
      <c r="CD623" s="353"/>
      <c r="CE623" s="353"/>
      <c r="CF623" s="353"/>
      <c r="CG623" s="353"/>
      <c r="CH623" s="353"/>
      <c r="CI623" s="353"/>
      <c r="CJ623" s="353"/>
      <c r="CK623" s="353"/>
      <c r="CL623" s="353"/>
      <c r="CM623" s="353"/>
      <c r="CN623" s="353"/>
      <c r="CO623" s="353"/>
      <c r="CP623" s="353"/>
      <c r="CQ623" s="353"/>
      <c r="CR623" s="353"/>
      <c r="CS623" s="353"/>
      <c r="CT623" s="353"/>
      <c r="CU623" s="353"/>
      <c r="CV623" s="353"/>
      <c r="CW623" s="353"/>
      <c r="CX623" s="353"/>
      <c r="CY623" s="353"/>
      <c r="CZ623" s="353"/>
      <c r="DA623" s="353"/>
      <c r="DB623" s="353"/>
      <c r="DC623" s="353"/>
      <c r="DD623" s="353"/>
      <c r="DE623" s="353"/>
      <c r="DF623" s="353"/>
      <c r="DG623" s="353"/>
      <c r="DH623" s="353"/>
      <c r="DI623" s="353"/>
      <c r="DJ623" s="353"/>
      <c r="DK623" s="353"/>
      <c r="DL623" s="353"/>
      <c r="DM623" s="353"/>
      <c r="DN623" s="353"/>
      <c r="DO623" s="353"/>
      <c r="DP623" s="353"/>
      <c r="DQ623" s="353"/>
      <c r="DR623" s="353"/>
      <c r="DS623" s="353"/>
      <c r="DT623" s="353"/>
      <c r="DU623" s="353"/>
      <c r="DV623" s="353"/>
      <c r="DW623" s="353"/>
      <c r="DX623" s="353"/>
      <c r="DY623" s="353"/>
      <c r="DZ623" s="353"/>
      <c r="EA623" s="353"/>
      <c r="EB623" s="353"/>
      <c r="EC623" s="353"/>
      <c r="ED623" s="353"/>
      <c r="EE623" s="353"/>
      <c r="EF623" s="353"/>
      <c r="EG623" s="353"/>
      <c r="EH623" s="353"/>
      <c r="EI623" s="353"/>
      <c r="EJ623" s="353"/>
      <c r="EK623" s="353"/>
      <c r="EL623" s="353"/>
      <c r="EM623" s="353"/>
      <c r="EN623" s="353"/>
      <c r="EO623" s="353"/>
      <c r="EP623" s="353"/>
      <c r="EQ623" s="353"/>
      <c r="ER623" s="353"/>
      <c r="ES623" s="353"/>
      <c r="ET623" s="353"/>
      <c r="EU623" s="353"/>
      <c r="EV623" s="353"/>
      <c r="EW623" s="353"/>
      <c r="EX623" s="353"/>
      <c r="EY623" s="353"/>
      <c r="EZ623" s="353"/>
      <c r="FA623" s="353"/>
      <c r="FB623" s="353"/>
      <c r="FC623" s="353"/>
      <c r="FD623" s="353"/>
      <c r="FE623" s="353"/>
      <c r="FF623" s="353"/>
      <c r="FG623" s="353"/>
      <c r="FH623" s="353"/>
      <c r="FI623" s="353"/>
      <c r="FJ623" s="353"/>
      <c r="FK623" s="353"/>
      <c r="FL623" s="353"/>
      <c r="FM623" s="353"/>
      <c r="FN623" s="353"/>
      <c r="FO623" s="353"/>
      <c r="FP623" s="353"/>
      <c r="FQ623" s="353"/>
      <c r="FR623" s="353"/>
      <c r="FS623" s="353"/>
      <c r="FT623" s="353"/>
      <c r="FU623" s="353"/>
      <c r="FV623" s="353"/>
      <c r="FW623" s="353"/>
      <c r="FX623" s="353"/>
      <c r="FY623" s="353"/>
      <c r="FZ623" s="353"/>
      <c r="GA623" s="353"/>
      <c r="GB623" s="353"/>
      <c r="GC623" s="353"/>
      <c r="GD623" s="353"/>
      <c r="GE623" s="353"/>
      <c r="GF623" s="353"/>
      <c r="GG623" s="353"/>
      <c r="GH623" s="353"/>
      <c r="GI623" s="353"/>
      <c r="GJ623" s="353"/>
      <c r="GK623" s="353"/>
      <c r="GL623" s="353"/>
      <c r="GM623" s="353"/>
      <c r="GN623" s="353"/>
      <c r="GO623" s="353"/>
      <c r="GP623" s="353"/>
      <c r="GQ623" s="353"/>
      <c r="GR623" s="353"/>
      <c r="GS623" s="353"/>
      <c r="GT623" s="353"/>
      <c r="GU623" s="353"/>
      <c r="GV623" s="353"/>
      <c r="GW623" s="353"/>
      <c r="GX623" s="353"/>
      <c r="GY623" s="353"/>
      <c r="GZ623" s="353"/>
      <c r="HA623" s="353"/>
      <c r="HB623" s="353"/>
      <c r="HC623" s="353"/>
      <c r="HD623" s="353"/>
      <c r="HE623" s="353"/>
      <c r="HF623" s="353"/>
      <c r="HG623" s="353"/>
      <c r="HH623" s="353"/>
      <c r="HI623" s="353"/>
      <c r="HJ623" s="353"/>
      <c r="HK623" s="353"/>
      <c r="HL623" s="353"/>
      <c r="HM623" s="353"/>
      <c r="HN623" s="353"/>
      <c r="HO623" s="353"/>
      <c r="HP623" s="353"/>
      <c r="HQ623" s="353"/>
      <c r="HR623" s="353"/>
    </row>
    <row r="624" spans="1:226" s="354" customFormat="1" ht="15" customHeight="1">
      <c r="A624" s="1557"/>
      <c r="B624" s="1560"/>
      <c r="C624" s="1563"/>
      <c r="D624" s="1566"/>
      <c r="E624" s="411">
        <v>6059</v>
      </c>
      <c r="F624" s="412">
        <f t="shared" si="53"/>
        <v>2175000</v>
      </c>
      <c r="G624" s="412">
        <v>2175000</v>
      </c>
      <c r="H624" s="412"/>
      <c r="I624" s="412"/>
      <c r="J624" s="413"/>
      <c r="K624" s="353"/>
    </row>
    <row r="625" spans="1:226" s="354" customFormat="1" ht="15" hidden="1" customHeight="1">
      <c r="A625" s="1557"/>
      <c r="B625" s="1560"/>
      <c r="C625" s="1563"/>
      <c r="D625" s="1566"/>
      <c r="E625" s="411">
        <v>6060</v>
      </c>
      <c r="F625" s="412">
        <f t="shared" si="53"/>
        <v>0</v>
      </c>
      <c r="G625" s="412"/>
      <c r="H625" s="412"/>
      <c r="I625" s="412"/>
      <c r="J625" s="413"/>
      <c r="K625" s="353"/>
    </row>
    <row r="626" spans="1:226" s="354" customFormat="1" ht="15" customHeight="1">
      <c r="A626" s="1557"/>
      <c r="B626" s="1560"/>
      <c r="C626" s="1563"/>
      <c r="D626" s="1566"/>
      <c r="E626" s="363" t="s">
        <v>408</v>
      </c>
      <c r="F626" s="412">
        <f t="shared" si="53"/>
        <v>2975000</v>
      </c>
      <c r="G626" s="412"/>
      <c r="H626" s="412">
        <v>2975000</v>
      </c>
      <c r="I626" s="412"/>
      <c r="J626" s="413"/>
      <c r="K626" s="353"/>
    </row>
    <row r="627" spans="1:226" s="354" customFormat="1" ht="15" customHeight="1">
      <c r="A627" s="1558"/>
      <c r="B627" s="1561"/>
      <c r="C627" s="1564"/>
      <c r="D627" s="1567"/>
      <c r="E627" s="396">
        <v>6069</v>
      </c>
      <c r="F627" s="412">
        <f t="shared" si="53"/>
        <v>525000</v>
      </c>
      <c r="G627" s="412">
        <v>525000</v>
      </c>
      <c r="H627" s="412"/>
      <c r="I627" s="412"/>
      <c r="J627" s="413"/>
      <c r="K627" s="353"/>
    </row>
    <row r="628" spans="1:226" s="354" customFormat="1" ht="24.95" customHeight="1">
      <c r="A628" s="1556" t="s">
        <v>381</v>
      </c>
      <c r="B628" s="1559" t="s">
        <v>1105</v>
      </c>
      <c r="C628" s="1562">
        <v>600</v>
      </c>
      <c r="D628" s="1565" t="s">
        <v>470</v>
      </c>
      <c r="E628" s="350" t="s">
        <v>315</v>
      </c>
      <c r="F628" s="351">
        <f>SUM(F629,F636)</f>
        <v>7000000</v>
      </c>
      <c r="G628" s="351">
        <f>SUM(G629,G636)</f>
        <v>0</v>
      </c>
      <c r="H628" s="351">
        <f>SUM(H629,H636)</f>
        <v>5950000</v>
      </c>
      <c r="I628" s="351">
        <f>SUM(I629,I636)</f>
        <v>0</v>
      </c>
      <c r="J628" s="352">
        <f>SUM(J629,J636)</f>
        <v>1050000</v>
      </c>
      <c r="K628" s="353"/>
    </row>
    <row r="629" spans="1:226" s="354" customFormat="1" ht="24.95" customHeight="1">
      <c r="A629" s="1557"/>
      <c r="B629" s="1560"/>
      <c r="C629" s="1563"/>
      <c r="D629" s="1566"/>
      <c r="E629" s="355" t="s">
        <v>316</v>
      </c>
      <c r="F629" s="356">
        <f>SUM(F630,F633)</f>
        <v>0</v>
      </c>
      <c r="G629" s="356">
        <f>SUM(G630,G633)</f>
        <v>0</v>
      </c>
      <c r="H629" s="356">
        <f>SUM(H630,H633)</f>
        <v>0</v>
      </c>
      <c r="I629" s="356">
        <f>SUM(I630,I633)</f>
        <v>0</v>
      </c>
      <c r="J629" s="357">
        <f>SUM(J630,J633)</f>
        <v>0</v>
      </c>
      <c r="K629" s="353"/>
    </row>
    <row r="630" spans="1:226" s="354" customFormat="1" ht="24.95" hidden="1" customHeight="1">
      <c r="A630" s="1557"/>
      <c r="B630" s="1560"/>
      <c r="C630" s="1563"/>
      <c r="D630" s="1566"/>
      <c r="E630" s="393" t="s">
        <v>333</v>
      </c>
      <c r="F630" s="394">
        <f>SUM(F631:F632)</f>
        <v>0</v>
      </c>
      <c r="G630" s="394">
        <f>SUM(G631:G632)</f>
        <v>0</v>
      </c>
      <c r="H630" s="394">
        <f>SUM(H631:H632)</f>
        <v>0</v>
      </c>
      <c r="I630" s="394">
        <f>SUM(I631:I632)</f>
        <v>0</v>
      </c>
      <c r="J630" s="395">
        <f>SUM(J631:J632)</f>
        <v>0</v>
      </c>
      <c r="K630" s="353"/>
    </row>
    <row r="631" spans="1:226" s="354" customFormat="1" ht="15" hidden="1" customHeight="1">
      <c r="A631" s="1557"/>
      <c r="B631" s="1560"/>
      <c r="C631" s="1563"/>
      <c r="D631" s="1566"/>
      <c r="E631" s="358"/>
      <c r="F631" s="359">
        <f>SUM(G631:J631)</f>
        <v>0</v>
      </c>
      <c r="G631" s="359"/>
      <c r="H631" s="359"/>
      <c r="I631" s="359"/>
      <c r="J631" s="360"/>
      <c r="K631" s="353"/>
    </row>
    <row r="632" spans="1:226" s="354" customFormat="1" ht="15" hidden="1" customHeight="1">
      <c r="A632" s="1557"/>
      <c r="B632" s="1560"/>
      <c r="C632" s="1563"/>
      <c r="D632" s="1566"/>
      <c r="E632" s="358"/>
      <c r="F632" s="359">
        <f>SUM(G632:J632)</f>
        <v>0</v>
      </c>
      <c r="G632" s="359"/>
      <c r="H632" s="359"/>
      <c r="I632" s="359"/>
      <c r="J632" s="360"/>
      <c r="K632" s="353"/>
    </row>
    <row r="633" spans="1:226" s="354" customFormat="1" ht="24.95" hidden="1" customHeight="1">
      <c r="A633" s="1557"/>
      <c r="B633" s="1560"/>
      <c r="C633" s="1563"/>
      <c r="D633" s="1566"/>
      <c r="E633" s="393" t="s">
        <v>338</v>
      </c>
      <c r="F633" s="394">
        <f>SUM(F634:F635)</f>
        <v>0</v>
      </c>
      <c r="G633" s="394">
        <f>SUM(G634:G635)</f>
        <v>0</v>
      </c>
      <c r="H633" s="394">
        <f>SUM(H634:H635)</f>
        <v>0</v>
      </c>
      <c r="I633" s="394">
        <f>SUM(I634:I635)</f>
        <v>0</v>
      </c>
      <c r="J633" s="395">
        <f>SUM(J634:J635)</f>
        <v>0</v>
      </c>
      <c r="K633" s="353"/>
    </row>
    <row r="634" spans="1:226" s="354" customFormat="1" ht="15" hidden="1" customHeight="1">
      <c r="A634" s="1557"/>
      <c r="B634" s="1560"/>
      <c r="C634" s="1563"/>
      <c r="D634" s="1566"/>
      <c r="E634" s="358"/>
      <c r="F634" s="359">
        <f>SUM(G634:J634)</f>
        <v>0</v>
      </c>
      <c r="G634" s="359"/>
      <c r="H634" s="359"/>
      <c r="I634" s="359"/>
      <c r="J634" s="360"/>
      <c r="K634" s="353"/>
    </row>
    <row r="635" spans="1:226" s="354" customFormat="1" ht="15" hidden="1" customHeight="1">
      <c r="A635" s="1557"/>
      <c r="B635" s="1560"/>
      <c r="C635" s="1563"/>
      <c r="D635" s="1566"/>
      <c r="E635" s="358"/>
      <c r="F635" s="359">
        <f>SUM(G635:J635)</f>
        <v>0</v>
      </c>
      <c r="G635" s="359"/>
      <c r="H635" s="359"/>
      <c r="I635" s="359"/>
      <c r="J635" s="360"/>
      <c r="K635" s="353"/>
    </row>
    <row r="636" spans="1:226" s="354" customFormat="1" ht="24.95" customHeight="1">
      <c r="A636" s="1557"/>
      <c r="B636" s="1560"/>
      <c r="C636" s="1563"/>
      <c r="D636" s="1566"/>
      <c r="E636" s="361" t="s">
        <v>318</v>
      </c>
      <c r="F636" s="356">
        <f>SUM(F637:F642)</f>
        <v>7000000</v>
      </c>
      <c r="G636" s="356">
        <f>SUM(G637:G642)</f>
        <v>0</v>
      </c>
      <c r="H636" s="356">
        <f>SUM(H637:H642)</f>
        <v>5950000</v>
      </c>
      <c r="I636" s="356">
        <f>SUM(I637:I642)</f>
        <v>0</v>
      </c>
      <c r="J636" s="357">
        <f>SUM(J637:J642)</f>
        <v>1050000</v>
      </c>
      <c r="K636" s="353"/>
    </row>
    <row r="637" spans="1:226" s="353" customFormat="1" ht="15" hidden="1" customHeight="1">
      <c r="A637" s="1557"/>
      <c r="B637" s="1560"/>
      <c r="C637" s="1563"/>
      <c r="D637" s="1566"/>
      <c r="E637" s="358" t="s">
        <v>471</v>
      </c>
      <c r="F637" s="359">
        <f t="shared" ref="F637:F642" si="54">SUM(G637:J637)</f>
        <v>0</v>
      </c>
      <c r="G637" s="359"/>
      <c r="H637" s="359"/>
      <c r="I637" s="359"/>
      <c r="J637" s="360"/>
    </row>
    <row r="638" spans="1:226" s="354" customFormat="1" ht="15" customHeight="1">
      <c r="A638" s="1557"/>
      <c r="B638" s="1560"/>
      <c r="C638" s="1563"/>
      <c r="D638" s="1566"/>
      <c r="E638" s="358" t="s">
        <v>414</v>
      </c>
      <c r="F638" s="359">
        <f t="shared" si="54"/>
        <v>4250000</v>
      </c>
      <c r="G638" s="359"/>
      <c r="H638" s="359">
        <v>4250000</v>
      </c>
      <c r="I638" s="359"/>
      <c r="J638" s="360"/>
      <c r="K638" s="353"/>
      <c r="L638" s="353"/>
      <c r="M638" s="353"/>
      <c r="N638" s="353"/>
      <c r="O638" s="353"/>
      <c r="P638" s="353"/>
      <c r="Q638" s="353"/>
      <c r="R638" s="353"/>
      <c r="S638" s="353"/>
      <c r="T638" s="353"/>
      <c r="U638" s="353"/>
      <c r="V638" s="353"/>
      <c r="W638" s="353"/>
      <c r="X638" s="353"/>
      <c r="Y638" s="353"/>
      <c r="Z638" s="353"/>
      <c r="AA638" s="353"/>
      <c r="AB638" s="353"/>
      <c r="AC638" s="353"/>
      <c r="AD638" s="353"/>
      <c r="AE638" s="353"/>
      <c r="AF638" s="353"/>
      <c r="AG638" s="353"/>
      <c r="AH638" s="353"/>
      <c r="AI638" s="353"/>
      <c r="AJ638" s="353"/>
      <c r="AK638" s="353"/>
      <c r="AL638" s="353"/>
      <c r="AM638" s="353"/>
      <c r="AN638" s="353"/>
      <c r="AO638" s="353"/>
      <c r="AP638" s="353"/>
      <c r="AQ638" s="353"/>
      <c r="AR638" s="353"/>
      <c r="AS638" s="353"/>
      <c r="AT638" s="353"/>
      <c r="AU638" s="353"/>
      <c r="AV638" s="353"/>
      <c r="AW638" s="353"/>
      <c r="AX638" s="353"/>
      <c r="AY638" s="353"/>
      <c r="AZ638" s="353"/>
      <c r="BA638" s="353"/>
      <c r="BB638" s="353"/>
      <c r="BC638" s="353"/>
      <c r="BD638" s="353"/>
      <c r="BE638" s="353"/>
      <c r="BF638" s="353"/>
      <c r="BG638" s="353"/>
      <c r="BH638" s="353"/>
      <c r="BI638" s="353"/>
      <c r="BJ638" s="353"/>
      <c r="BK638" s="353"/>
      <c r="BL638" s="353"/>
      <c r="BM638" s="353"/>
      <c r="BN638" s="353"/>
      <c r="BO638" s="353"/>
      <c r="BP638" s="353"/>
      <c r="BQ638" s="353"/>
      <c r="BR638" s="353"/>
      <c r="BS638" s="353"/>
      <c r="BT638" s="353"/>
      <c r="BU638" s="353"/>
      <c r="BV638" s="353"/>
      <c r="BW638" s="353"/>
      <c r="BX638" s="353"/>
      <c r="BY638" s="353"/>
      <c r="BZ638" s="353"/>
      <c r="CA638" s="353"/>
      <c r="CB638" s="353"/>
      <c r="CC638" s="353"/>
      <c r="CD638" s="353"/>
      <c r="CE638" s="353"/>
      <c r="CF638" s="353"/>
      <c r="CG638" s="353"/>
      <c r="CH638" s="353"/>
      <c r="CI638" s="353"/>
      <c r="CJ638" s="353"/>
      <c r="CK638" s="353"/>
      <c r="CL638" s="353"/>
      <c r="CM638" s="353"/>
      <c r="CN638" s="353"/>
      <c r="CO638" s="353"/>
      <c r="CP638" s="353"/>
      <c r="CQ638" s="353"/>
      <c r="CR638" s="353"/>
      <c r="CS638" s="353"/>
      <c r="CT638" s="353"/>
      <c r="CU638" s="353"/>
      <c r="CV638" s="353"/>
      <c r="CW638" s="353"/>
      <c r="CX638" s="353"/>
      <c r="CY638" s="353"/>
      <c r="CZ638" s="353"/>
      <c r="DA638" s="353"/>
      <c r="DB638" s="353"/>
      <c r="DC638" s="353"/>
      <c r="DD638" s="353"/>
      <c r="DE638" s="353"/>
      <c r="DF638" s="353"/>
      <c r="DG638" s="353"/>
      <c r="DH638" s="353"/>
      <c r="DI638" s="353"/>
      <c r="DJ638" s="353"/>
      <c r="DK638" s="353"/>
      <c r="DL638" s="353"/>
      <c r="DM638" s="353"/>
      <c r="DN638" s="353"/>
      <c r="DO638" s="353"/>
      <c r="DP638" s="353"/>
      <c r="DQ638" s="353"/>
      <c r="DR638" s="353"/>
      <c r="DS638" s="353"/>
      <c r="DT638" s="353"/>
      <c r="DU638" s="353"/>
      <c r="DV638" s="353"/>
      <c r="DW638" s="353"/>
      <c r="DX638" s="353"/>
      <c r="DY638" s="353"/>
      <c r="DZ638" s="353"/>
      <c r="EA638" s="353"/>
      <c r="EB638" s="353"/>
      <c r="EC638" s="353"/>
      <c r="ED638" s="353"/>
      <c r="EE638" s="353"/>
      <c r="EF638" s="353"/>
      <c r="EG638" s="353"/>
      <c r="EH638" s="353"/>
      <c r="EI638" s="353"/>
      <c r="EJ638" s="353"/>
      <c r="EK638" s="353"/>
      <c r="EL638" s="353"/>
      <c r="EM638" s="353"/>
      <c r="EN638" s="353"/>
      <c r="EO638" s="353"/>
      <c r="EP638" s="353"/>
      <c r="EQ638" s="353"/>
      <c r="ER638" s="353"/>
      <c r="ES638" s="353"/>
      <c r="ET638" s="353"/>
      <c r="EU638" s="353"/>
      <c r="EV638" s="353"/>
      <c r="EW638" s="353"/>
      <c r="EX638" s="353"/>
      <c r="EY638" s="353"/>
      <c r="EZ638" s="353"/>
      <c r="FA638" s="353"/>
      <c r="FB638" s="353"/>
      <c r="FC638" s="353"/>
      <c r="FD638" s="353"/>
      <c r="FE638" s="353"/>
      <c r="FF638" s="353"/>
      <c r="FG638" s="353"/>
      <c r="FH638" s="353"/>
      <c r="FI638" s="353"/>
      <c r="FJ638" s="353"/>
      <c r="FK638" s="353"/>
      <c r="FL638" s="353"/>
      <c r="FM638" s="353"/>
      <c r="FN638" s="353"/>
      <c r="FO638" s="353"/>
      <c r="FP638" s="353"/>
      <c r="FQ638" s="353"/>
      <c r="FR638" s="353"/>
      <c r="FS638" s="353"/>
      <c r="FT638" s="353"/>
      <c r="FU638" s="353"/>
      <c r="FV638" s="353"/>
      <c r="FW638" s="353"/>
      <c r="FX638" s="353"/>
      <c r="FY638" s="353"/>
      <c r="FZ638" s="353"/>
      <c r="GA638" s="353"/>
      <c r="GB638" s="353"/>
      <c r="GC638" s="353"/>
      <c r="GD638" s="353"/>
      <c r="GE638" s="353"/>
      <c r="GF638" s="353"/>
      <c r="GG638" s="353"/>
      <c r="GH638" s="353"/>
      <c r="GI638" s="353"/>
      <c r="GJ638" s="353"/>
      <c r="GK638" s="353"/>
      <c r="GL638" s="353"/>
      <c r="GM638" s="353"/>
      <c r="GN638" s="353"/>
      <c r="GO638" s="353"/>
      <c r="GP638" s="353"/>
      <c r="GQ638" s="353"/>
      <c r="GR638" s="353"/>
      <c r="GS638" s="353"/>
      <c r="GT638" s="353"/>
      <c r="GU638" s="353"/>
      <c r="GV638" s="353"/>
      <c r="GW638" s="353"/>
      <c r="GX638" s="353"/>
      <c r="GY638" s="353"/>
      <c r="GZ638" s="353"/>
      <c r="HA638" s="353"/>
      <c r="HB638" s="353"/>
      <c r="HC638" s="353"/>
      <c r="HD638" s="353"/>
      <c r="HE638" s="353"/>
      <c r="HF638" s="353"/>
      <c r="HG638" s="353"/>
      <c r="HH638" s="353"/>
      <c r="HI638" s="353"/>
      <c r="HJ638" s="353"/>
      <c r="HK638" s="353"/>
      <c r="HL638" s="353"/>
      <c r="HM638" s="353"/>
      <c r="HN638" s="353"/>
      <c r="HO638" s="353"/>
      <c r="HP638" s="353"/>
      <c r="HQ638" s="353"/>
      <c r="HR638" s="353"/>
    </row>
    <row r="639" spans="1:226" s="354" customFormat="1" ht="15" customHeight="1">
      <c r="A639" s="1557"/>
      <c r="B639" s="1560"/>
      <c r="C639" s="1563"/>
      <c r="D639" s="1566"/>
      <c r="E639" s="411">
        <v>6059</v>
      </c>
      <c r="F639" s="412">
        <f t="shared" si="54"/>
        <v>750000</v>
      </c>
      <c r="G639" s="412"/>
      <c r="H639" s="412"/>
      <c r="I639" s="412"/>
      <c r="J639" s="413">
        <v>750000</v>
      </c>
      <c r="K639" s="353"/>
    </row>
    <row r="640" spans="1:226" s="354" customFormat="1" ht="15" hidden="1" customHeight="1">
      <c r="A640" s="1557"/>
      <c r="B640" s="1560"/>
      <c r="C640" s="1563"/>
      <c r="D640" s="1566"/>
      <c r="E640" s="411">
        <v>6060</v>
      </c>
      <c r="F640" s="412">
        <f t="shared" si="54"/>
        <v>0</v>
      </c>
      <c r="G640" s="412"/>
      <c r="H640" s="412"/>
      <c r="I640" s="412"/>
      <c r="J640" s="413"/>
      <c r="K640" s="353"/>
    </row>
    <row r="641" spans="1:226" s="354" customFormat="1" ht="15" customHeight="1">
      <c r="A641" s="1557"/>
      <c r="B641" s="1560"/>
      <c r="C641" s="1563"/>
      <c r="D641" s="1566"/>
      <c r="E641" s="363" t="s">
        <v>408</v>
      </c>
      <c r="F641" s="412">
        <f t="shared" si="54"/>
        <v>1700000</v>
      </c>
      <c r="G641" s="412"/>
      <c r="H641" s="412">
        <v>1700000</v>
      </c>
      <c r="I641" s="412"/>
      <c r="J641" s="413"/>
      <c r="K641" s="353"/>
    </row>
    <row r="642" spans="1:226" s="354" customFormat="1" ht="15" customHeight="1">
      <c r="A642" s="1558"/>
      <c r="B642" s="1561"/>
      <c r="C642" s="1564"/>
      <c r="D642" s="1567"/>
      <c r="E642" s="396">
        <v>6069</v>
      </c>
      <c r="F642" s="412">
        <f t="shared" si="54"/>
        <v>300000</v>
      </c>
      <c r="G642" s="412"/>
      <c r="H642" s="412"/>
      <c r="I642" s="412"/>
      <c r="J642" s="413">
        <v>300000</v>
      </c>
      <c r="K642" s="353"/>
    </row>
    <row r="643" spans="1:226" s="354" customFormat="1" ht="24.95" customHeight="1">
      <c r="A643" s="1556" t="s">
        <v>383</v>
      </c>
      <c r="B643" s="1559" t="s">
        <v>479</v>
      </c>
      <c r="C643" s="1562">
        <v>600</v>
      </c>
      <c r="D643" s="1565" t="s">
        <v>470</v>
      </c>
      <c r="E643" s="350" t="s">
        <v>315</v>
      </c>
      <c r="F643" s="351">
        <f>SUM(F644,F651)</f>
        <v>8953726</v>
      </c>
      <c r="G643" s="351">
        <f>SUM(G644,G651)</f>
        <v>1343059</v>
      </c>
      <c r="H643" s="351">
        <f>SUM(H644,H651)</f>
        <v>7610667</v>
      </c>
      <c r="I643" s="351">
        <f>SUM(I644,I651)</f>
        <v>0</v>
      </c>
      <c r="J643" s="352">
        <f>SUM(J644,J651)</f>
        <v>0</v>
      </c>
      <c r="K643" s="353"/>
    </row>
    <row r="644" spans="1:226" s="354" customFormat="1" ht="24.95" customHeight="1">
      <c r="A644" s="1557"/>
      <c r="B644" s="1560"/>
      <c r="C644" s="1563"/>
      <c r="D644" s="1566"/>
      <c r="E644" s="355" t="s">
        <v>316</v>
      </c>
      <c r="F644" s="356">
        <f>SUM(F645,F648)</f>
        <v>0</v>
      </c>
      <c r="G644" s="356">
        <f>SUM(G645,G648)</f>
        <v>0</v>
      </c>
      <c r="H644" s="356">
        <f>SUM(H645,H648)</f>
        <v>0</v>
      </c>
      <c r="I644" s="356">
        <f>SUM(I645,I648)</f>
        <v>0</v>
      </c>
      <c r="J644" s="357">
        <f>SUM(J645,J648)</f>
        <v>0</v>
      </c>
      <c r="K644" s="353"/>
    </row>
    <row r="645" spans="1:226" s="354" customFormat="1" ht="24.95" hidden="1" customHeight="1">
      <c r="A645" s="1557"/>
      <c r="B645" s="1560"/>
      <c r="C645" s="1563"/>
      <c r="D645" s="1566"/>
      <c r="E645" s="393" t="s">
        <v>333</v>
      </c>
      <c r="F645" s="394">
        <f>SUM(F646:F647)</f>
        <v>0</v>
      </c>
      <c r="G645" s="394">
        <f>SUM(G646:G647)</f>
        <v>0</v>
      </c>
      <c r="H645" s="394">
        <f>SUM(H646:H647)</f>
        <v>0</v>
      </c>
      <c r="I645" s="394">
        <f>SUM(I646:I647)</f>
        <v>0</v>
      </c>
      <c r="J645" s="395">
        <f>SUM(J646:J647)</f>
        <v>0</v>
      </c>
      <c r="K645" s="353"/>
    </row>
    <row r="646" spans="1:226" s="354" customFormat="1" ht="15" hidden="1" customHeight="1">
      <c r="A646" s="1557"/>
      <c r="B646" s="1560"/>
      <c r="C646" s="1563"/>
      <c r="D646" s="1566"/>
      <c r="E646" s="358"/>
      <c r="F646" s="359">
        <f>SUM(G646:J646)</f>
        <v>0</v>
      </c>
      <c r="G646" s="359"/>
      <c r="H646" s="359"/>
      <c r="I646" s="359"/>
      <c r="J646" s="360"/>
      <c r="K646" s="353"/>
    </row>
    <row r="647" spans="1:226" s="354" customFormat="1" ht="15" hidden="1" customHeight="1">
      <c r="A647" s="1557"/>
      <c r="B647" s="1560"/>
      <c r="C647" s="1563"/>
      <c r="D647" s="1566"/>
      <c r="E647" s="358"/>
      <c r="F647" s="359">
        <f>SUM(G647:J647)</f>
        <v>0</v>
      </c>
      <c r="G647" s="359"/>
      <c r="H647" s="359"/>
      <c r="I647" s="359"/>
      <c r="J647" s="360"/>
      <c r="K647" s="353"/>
    </row>
    <row r="648" spans="1:226" s="354" customFormat="1" ht="24.95" hidden="1" customHeight="1">
      <c r="A648" s="1557"/>
      <c r="B648" s="1560"/>
      <c r="C648" s="1563"/>
      <c r="D648" s="1566"/>
      <c r="E648" s="393" t="s">
        <v>338</v>
      </c>
      <c r="F648" s="394">
        <f>SUM(F649:F650)</f>
        <v>0</v>
      </c>
      <c r="G648" s="394">
        <f>SUM(G649:G650)</f>
        <v>0</v>
      </c>
      <c r="H648" s="394">
        <f>SUM(H649:H650)</f>
        <v>0</v>
      </c>
      <c r="I648" s="394">
        <f>SUM(I649:I650)</f>
        <v>0</v>
      </c>
      <c r="J648" s="395">
        <f>SUM(J649:J650)</f>
        <v>0</v>
      </c>
      <c r="K648" s="353"/>
    </row>
    <row r="649" spans="1:226" s="354" customFormat="1" ht="15" hidden="1" customHeight="1">
      <c r="A649" s="1557"/>
      <c r="B649" s="1560"/>
      <c r="C649" s="1563"/>
      <c r="D649" s="1566"/>
      <c r="E649" s="358"/>
      <c r="F649" s="359">
        <f>SUM(G649:J649)</f>
        <v>0</v>
      </c>
      <c r="G649" s="359"/>
      <c r="H649" s="359"/>
      <c r="I649" s="359"/>
      <c r="J649" s="360"/>
      <c r="K649" s="353"/>
    </row>
    <row r="650" spans="1:226" s="354" customFormat="1" ht="15" hidden="1" customHeight="1">
      <c r="A650" s="1557"/>
      <c r="B650" s="1560"/>
      <c r="C650" s="1563"/>
      <c r="D650" s="1566"/>
      <c r="E650" s="358"/>
      <c r="F650" s="359">
        <f>SUM(G650:J650)</f>
        <v>0</v>
      </c>
      <c r="G650" s="359"/>
      <c r="H650" s="359"/>
      <c r="I650" s="359"/>
      <c r="J650" s="360"/>
      <c r="K650" s="353"/>
    </row>
    <row r="651" spans="1:226" s="354" customFormat="1" ht="24.95" customHeight="1">
      <c r="A651" s="1557"/>
      <c r="B651" s="1560"/>
      <c r="C651" s="1563"/>
      <c r="D651" s="1566"/>
      <c r="E651" s="361" t="s">
        <v>318</v>
      </c>
      <c r="F651" s="356">
        <f>SUM(F652:F657)</f>
        <v>8953726</v>
      </c>
      <c r="G651" s="356">
        <f>SUM(G652:G657)</f>
        <v>1343059</v>
      </c>
      <c r="H651" s="356">
        <f>SUM(H652:H657)</f>
        <v>7610667</v>
      </c>
      <c r="I651" s="356">
        <f>SUM(I652:I657)</f>
        <v>0</v>
      </c>
      <c r="J651" s="357">
        <f>SUM(J652:J657)</f>
        <v>0</v>
      </c>
      <c r="K651" s="353"/>
    </row>
    <row r="652" spans="1:226" s="353" customFormat="1" ht="15" hidden="1" customHeight="1">
      <c r="A652" s="1557"/>
      <c r="B652" s="1560"/>
      <c r="C652" s="1563"/>
      <c r="D652" s="1566"/>
      <c r="E652" s="358" t="s">
        <v>471</v>
      </c>
      <c r="F652" s="359">
        <f t="shared" ref="F652:F657" si="55">SUM(G652:J652)</f>
        <v>0</v>
      </c>
      <c r="G652" s="359"/>
      <c r="H652" s="359"/>
      <c r="I652" s="359"/>
      <c r="J652" s="360"/>
    </row>
    <row r="653" spans="1:226" s="354" customFormat="1" ht="15" customHeight="1">
      <c r="A653" s="1557"/>
      <c r="B653" s="1560"/>
      <c r="C653" s="1563"/>
      <c r="D653" s="1566"/>
      <c r="E653" s="358" t="s">
        <v>414</v>
      </c>
      <c r="F653" s="359">
        <f t="shared" si="55"/>
        <v>5315667</v>
      </c>
      <c r="G653" s="359"/>
      <c r="H653" s="359">
        <v>5315667</v>
      </c>
      <c r="I653" s="359"/>
      <c r="J653" s="360"/>
      <c r="K653" s="353"/>
      <c r="L653" s="353"/>
      <c r="M653" s="353"/>
      <c r="N653" s="353"/>
      <c r="O653" s="353"/>
      <c r="P653" s="353"/>
      <c r="Q653" s="353"/>
      <c r="R653" s="353"/>
      <c r="S653" s="353"/>
      <c r="T653" s="353"/>
      <c r="U653" s="353"/>
      <c r="V653" s="353"/>
      <c r="W653" s="353"/>
      <c r="X653" s="353"/>
      <c r="Y653" s="353"/>
      <c r="Z653" s="353"/>
      <c r="AA653" s="353"/>
      <c r="AB653" s="353"/>
      <c r="AC653" s="353"/>
      <c r="AD653" s="353"/>
      <c r="AE653" s="353"/>
      <c r="AF653" s="353"/>
      <c r="AG653" s="353"/>
      <c r="AH653" s="353"/>
      <c r="AI653" s="353"/>
      <c r="AJ653" s="353"/>
      <c r="AK653" s="353"/>
      <c r="AL653" s="353"/>
      <c r="AM653" s="353"/>
      <c r="AN653" s="353"/>
      <c r="AO653" s="353"/>
      <c r="AP653" s="353"/>
      <c r="AQ653" s="353"/>
      <c r="AR653" s="353"/>
      <c r="AS653" s="353"/>
      <c r="AT653" s="353"/>
      <c r="AU653" s="353"/>
      <c r="AV653" s="353"/>
      <c r="AW653" s="353"/>
      <c r="AX653" s="353"/>
      <c r="AY653" s="353"/>
      <c r="AZ653" s="353"/>
      <c r="BA653" s="353"/>
      <c r="BB653" s="353"/>
      <c r="BC653" s="353"/>
      <c r="BD653" s="353"/>
      <c r="BE653" s="353"/>
      <c r="BF653" s="353"/>
      <c r="BG653" s="353"/>
      <c r="BH653" s="353"/>
      <c r="BI653" s="353"/>
      <c r="BJ653" s="353"/>
      <c r="BK653" s="353"/>
      <c r="BL653" s="353"/>
      <c r="BM653" s="353"/>
      <c r="BN653" s="353"/>
      <c r="BO653" s="353"/>
      <c r="BP653" s="353"/>
      <c r="BQ653" s="353"/>
      <c r="BR653" s="353"/>
      <c r="BS653" s="353"/>
      <c r="BT653" s="353"/>
      <c r="BU653" s="353"/>
      <c r="BV653" s="353"/>
      <c r="BW653" s="353"/>
      <c r="BX653" s="353"/>
      <c r="BY653" s="353"/>
      <c r="BZ653" s="353"/>
      <c r="CA653" s="353"/>
      <c r="CB653" s="353"/>
      <c r="CC653" s="353"/>
      <c r="CD653" s="353"/>
      <c r="CE653" s="353"/>
      <c r="CF653" s="353"/>
      <c r="CG653" s="353"/>
      <c r="CH653" s="353"/>
      <c r="CI653" s="353"/>
      <c r="CJ653" s="353"/>
      <c r="CK653" s="353"/>
      <c r="CL653" s="353"/>
      <c r="CM653" s="353"/>
      <c r="CN653" s="353"/>
      <c r="CO653" s="353"/>
      <c r="CP653" s="353"/>
      <c r="CQ653" s="353"/>
      <c r="CR653" s="353"/>
      <c r="CS653" s="353"/>
      <c r="CT653" s="353"/>
      <c r="CU653" s="353"/>
      <c r="CV653" s="353"/>
      <c r="CW653" s="353"/>
      <c r="CX653" s="353"/>
      <c r="CY653" s="353"/>
      <c r="CZ653" s="353"/>
      <c r="DA653" s="353"/>
      <c r="DB653" s="353"/>
      <c r="DC653" s="353"/>
      <c r="DD653" s="353"/>
      <c r="DE653" s="353"/>
      <c r="DF653" s="353"/>
      <c r="DG653" s="353"/>
      <c r="DH653" s="353"/>
      <c r="DI653" s="353"/>
      <c r="DJ653" s="353"/>
      <c r="DK653" s="353"/>
      <c r="DL653" s="353"/>
      <c r="DM653" s="353"/>
      <c r="DN653" s="353"/>
      <c r="DO653" s="353"/>
      <c r="DP653" s="353"/>
      <c r="DQ653" s="353"/>
      <c r="DR653" s="353"/>
      <c r="DS653" s="353"/>
      <c r="DT653" s="353"/>
      <c r="DU653" s="353"/>
      <c r="DV653" s="353"/>
      <c r="DW653" s="353"/>
      <c r="DX653" s="353"/>
      <c r="DY653" s="353"/>
      <c r="DZ653" s="353"/>
      <c r="EA653" s="353"/>
      <c r="EB653" s="353"/>
      <c r="EC653" s="353"/>
      <c r="ED653" s="353"/>
      <c r="EE653" s="353"/>
      <c r="EF653" s="353"/>
      <c r="EG653" s="353"/>
      <c r="EH653" s="353"/>
      <c r="EI653" s="353"/>
      <c r="EJ653" s="353"/>
      <c r="EK653" s="353"/>
      <c r="EL653" s="353"/>
      <c r="EM653" s="353"/>
      <c r="EN653" s="353"/>
      <c r="EO653" s="353"/>
      <c r="EP653" s="353"/>
      <c r="EQ653" s="353"/>
      <c r="ER653" s="353"/>
      <c r="ES653" s="353"/>
      <c r="ET653" s="353"/>
      <c r="EU653" s="353"/>
      <c r="EV653" s="353"/>
      <c r="EW653" s="353"/>
      <c r="EX653" s="353"/>
      <c r="EY653" s="353"/>
      <c r="EZ653" s="353"/>
      <c r="FA653" s="353"/>
      <c r="FB653" s="353"/>
      <c r="FC653" s="353"/>
      <c r="FD653" s="353"/>
      <c r="FE653" s="353"/>
      <c r="FF653" s="353"/>
      <c r="FG653" s="353"/>
      <c r="FH653" s="353"/>
      <c r="FI653" s="353"/>
      <c r="FJ653" s="353"/>
      <c r="FK653" s="353"/>
      <c r="FL653" s="353"/>
      <c r="FM653" s="353"/>
      <c r="FN653" s="353"/>
      <c r="FO653" s="353"/>
      <c r="FP653" s="353"/>
      <c r="FQ653" s="353"/>
      <c r="FR653" s="353"/>
      <c r="FS653" s="353"/>
      <c r="FT653" s="353"/>
      <c r="FU653" s="353"/>
      <c r="FV653" s="353"/>
      <c r="FW653" s="353"/>
      <c r="FX653" s="353"/>
      <c r="FY653" s="353"/>
      <c r="FZ653" s="353"/>
      <c r="GA653" s="353"/>
      <c r="GB653" s="353"/>
      <c r="GC653" s="353"/>
      <c r="GD653" s="353"/>
      <c r="GE653" s="353"/>
      <c r="GF653" s="353"/>
      <c r="GG653" s="353"/>
      <c r="GH653" s="353"/>
      <c r="GI653" s="353"/>
      <c r="GJ653" s="353"/>
      <c r="GK653" s="353"/>
      <c r="GL653" s="353"/>
      <c r="GM653" s="353"/>
      <c r="GN653" s="353"/>
      <c r="GO653" s="353"/>
      <c r="GP653" s="353"/>
      <c r="GQ653" s="353"/>
      <c r="GR653" s="353"/>
      <c r="GS653" s="353"/>
      <c r="GT653" s="353"/>
      <c r="GU653" s="353"/>
      <c r="GV653" s="353"/>
      <c r="GW653" s="353"/>
      <c r="GX653" s="353"/>
      <c r="GY653" s="353"/>
      <c r="GZ653" s="353"/>
      <c r="HA653" s="353"/>
      <c r="HB653" s="353"/>
      <c r="HC653" s="353"/>
      <c r="HD653" s="353"/>
      <c r="HE653" s="353"/>
      <c r="HF653" s="353"/>
      <c r="HG653" s="353"/>
      <c r="HH653" s="353"/>
      <c r="HI653" s="353"/>
      <c r="HJ653" s="353"/>
      <c r="HK653" s="353"/>
      <c r="HL653" s="353"/>
      <c r="HM653" s="353"/>
      <c r="HN653" s="353"/>
      <c r="HO653" s="353"/>
      <c r="HP653" s="353"/>
      <c r="HQ653" s="353"/>
      <c r="HR653" s="353"/>
    </row>
    <row r="654" spans="1:226" s="354" customFormat="1" ht="15" customHeight="1">
      <c r="A654" s="1557"/>
      <c r="B654" s="1560"/>
      <c r="C654" s="1563"/>
      <c r="D654" s="1566"/>
      <c r="E654" s="411">
        <v>6059</v>
      </c>
      <c r="F654" s="412">
        <f t="shared" si="55"/>
        <v>938059</v>
      </c>
      <c r="G654" s="412">
        <v>938059</v>
      </c>
      <c r="H654" s="412"/>
      <c r="I654" s="412"/>
      <c r="J654" s="413"/>
      <c r="K654" s="353"/>
    </row>
    <row r="655" spans="1:226" s="354" customFormat="1" ht="15" hidden="1" customHeight="1">
      <c r="A655" s="1557"/>
      <c r="B655" s="1560"/>
      <c r="C655" s="1563"/>
      <c r="D655" s="1566"/>
      <c r="E655" s="411">
        <v>6060</v>
      </c>
      <c r="F655" s="412">
        <f t="shared" si="55"/>
        <v>0</v>
      </c>
      <c r="G655" s="412"/>
      <c r="H655" s="412"/>
      <c r="I655" s="412"/>
      <c r="J655" s="413"/>
      <c r="K655" s="353"/>
    </row>
    <row r="656" spans="1:226" s="354" customFormat="1" ht="15" customHeight="1">
      <c r="A656" s="1557"/>
      <c r="B656" s="1560"/>
      <c r="C656" s="1563"/>
      <c r="D656" s="1566"/>
      <c r="E656" s="363" t="s">
        <v>408</v>
      </c>
      <c r="F656" s="412">
        <f t="shared" si="55"/>
        <v>2295000</v>
      </c>
      <c r="G656" s="412"/>
      <c r="H656" s="412">
        <v>2295000</v>
      </c>
      <c r="I656" s="412"/>
      <c r="J656" s="413"/>
      <c r="K656" s="353"/>
    </row>
    <row r="657" spans="1:226" s="354" customFormat="1" ht="15" customHeight="1">
      <c r="A657" s="1558"/>
      <c r="B657" s="1561"/>
      <c r="C657" s="1564"/>
      <c r="D657" s="1567"/>
      <c r="E657" s="396">
        <v>6069</v>
      </c>
      <c r="F657" s="412">
        <f t="shared" si="55"/>
        <v>405000</v>
      </c>
      <c r="G657" s="412">
        <v>405000</v>
      </c>
      <c r="H657" s="412"/>
      <c r="I657" s="412"/>
      <c r="J657" s="413"/>
      <c r="K657" s="353"/>
    </row>
    <row r="658" spans="1:226" s="354" customFormat="1" ht="24.95" customHeight="1">
      <c r="A658" s="1556" t="s">
        <v>385</v>
      </c>
      <c r="B658" s="1559" t="s">
        <v>480</v>
      </c>
      <c r="C658" s="1562">
        <v>600</v>
      </c>
      <c r="D658" s="1565" t="s">
        <v>470</v>
      </c>
      <c r="E658" s="350" t="s">
        <v>315</v>
      </c>
      <c r="F658" s="351">
        <f>SUM(F659,F666)</f>
        <v>7320000</v>
      </c>
      <c r="G658" s="351">
        <f>SUM(G659,G666)</f>
        <v>1098000</v>
      </c>
      <c r="H658" s="351">
        <f>SUM(H659,H666)</f>
        <v>6222000</v>
      </c>
      <c r="I658" s="351">
        <f>SUM(I659,I666)</f>
        <v>0</v>
      </c>
      <c r="J658" s="352">
        <f>SUM(J659,J666)</f>
        <v>0</v>
      </c>
      <c r="K658" s="353"/>
    </row>
    <row r="659" spans="1:226" s="354" customFormat="1" ht="24.95" customHeight="1">
      <c r="A659" s="1557"/>
      <c r="B659" s="1560"/>
      <c r="C659" s="1563"/>
      <c r="D659" s="1566"/>
      <c r="E659" s="355" t="s">
        <v>316</v>
      </c>
      <c r="F659" s="356">
        <f>SUM(F660,F663)</f>
        <v>0</v>
      </c>
      <c r="G659" s="356">
        <f>SUM(G660,G663)</f>
        <v>0</v>
      </c>
      <c r="H659" s="356">
        <f>SUM(H660,H663)</f>
        <v>0</v>
      </c>
      <c r="I659" s="356">
        <f>SUM(I660,I663)</f>
        <v>0</v>
      </c>
      <c r="J659" s="357">
        <f>SUM(J660,J663)</f>
        <v>0</v>
      </c>
      <c r="K659" s="353"/>
    </row>
    <row r="660" spans="1:226" s="354" customFormat="1" ht="24.95" hidden="1" customHeight="1">
      <c r="A660" s="1557"/>
      <c r="B660" s="1560"/>
      <c r="C660" s="1563"/>
      <c r="D660" s="1566"/>
      <c r="E660" s="393" t="s">
        <v>333</v>
      </c>
      <c r="F660" s="394">
        <f>SUM(F661:F662)</f>
        <v>0</v>
      </c>
      <c r="G660" s="394">
        <f>SUM(G661:G662)</f>
        <v>0</v>
      </c>
      <c r="H660" s="394">
        <f>SUM(H661:H662)</f>
        <v>0</v>
      </c>
      <c r="I660" s="394">
        <f>SUM(I661:I662)</f>
        <v>0</v>
      </c>
      <c r="J660" s="395">
        <f>SUM(J661:J662)</f>
        <v>0</v>
      </c>
      <c r="K660" s="353"/>
    </row>
    <row r="661" spans="1:226" s="354" customFormat="1" ht="15" hidden="1" customHeight="1">
      <c r="A661" s="1557"/>
      <c r="B661" s="1560"/>
      <c r="C661" s="1563"/>
      <c r="D661" s="1566"/>
      <c r="E661" s="358"/>
      <c r="F661" s="359">
        <f>SUM(G661:J661)</f>
        <v>0</v>
      </c>
      <c r="G661" s="359"/>
      <c r="H661" s="359"/>
      <c r="I661" s="359"/>
      <c r="J661" s="360"/>
      <c r="K661" s="353"/>
    </row>
    <row r="662" spans="1:226" s="354" customFormat="1" ht="15" hidden="1" customHeight="1">
      <c r="A662" s="1557"/>
      <c r="B662" s="1560"/>
      <c r="C662" s="1563"/>
      <c r="D662" s="1566"/>
      <c r="E662" s="358"/>
      <c r="F662" s="359">
        <f>SUM(G662:J662)</f>
        <v>0</v>
      </c>
      <c r="G662" s="359"/>
      <c r="H662" s="359"/>
      <c r="I662" s="359"/>
      <c r="J662" s="360"/>
      <c r="K662" s="353"/>
    </row>
    <row r="663" spans="1:226" s="354" customFormat="1" ht="24.95" hidden="1" customHeight="1">
      <c r="A663" s="1557"/>
      <c r="B663" s="1560"/>
      <c r="C663" s="1563"/>
      <c r="D663" s="1566"/>
      <c r="E663" s="393" t="s">
        <v>338</v>
      </c>
      <c r="F663" s="394">
        <f>SUM(F664:F665)</f>
        <v>0</v>
      </c>
      <c r="G663" s="394">
        <f>SUM(G664:G665)</f>
        <v>0</v>
      </c>
      <c r="H663" s="394">
        <f>SUM(H664:H665)</f>
        <v>0</v>
      </c>
      <c r="I663" s="394">
        <f>SUM(I664:I665)</f>
        <v>0</v>
      </c>
      <c r="J663" s="395">
        <f>SUM(J664:J665)</f>
        <v>0</v>
      </c>
      <c r="K663" s="353"/>
    </row>
    <row r="664" spans="1:226" s="354" customFormat="1" ht="15" hidden="1" customHeight="1">
      <c r="A664" s="1557"/>
      <c r="B664" s="1560"/>
      <c r="C664" s="1563"/>
      <c r="D664" s="1566"/>
      <c r="E664" s="358"/>
      <c r="F664" s="359">
        <f>SUM(G664:J664)</f>
        <v>0</v>
      </c>
      <c r="G664" s="359"/>
      <c r="H664" s="359"/>
      <c r="I664" s="359"/>
      <c r="J664" s="360"/>
      <c r="K664" s="353"/>
    </row>
    <row r="665" spans="1:226" s="354" customFormat="1" ht="15" hidden="1" customHeight="1">
      <c r="A665" s="1557"/>
      <c r="B665" s="1560"/>
      <c r="C665" s="1563"/>
      <c r="D665" s="1566"/>
      <c r="E665" s="358"/>
      <c r="F665" s="359">
        <f>SUM(G665:J665)</f>
        <v>0</v>
      </c>
      <c r="G665" s="359"/>
      <c r="H665" s="359"/>
      <c r="I665" s="359"/>
      <c r="J665" s="360"/>
      <c r="K665" s="353"/>
    </row>
    <row r="666" spans="1:226" s="354" customFormat="1" ht="24.95" customHeight="1">
      <c r="A666" s="1557"/>
      <c r="B666" s="1560"/>
      <c r="C666" s="1563"/>
      <c r="D666" s="1566"/>
      <c r="E666" s="361" t="s">
        <v>318</v>
      </c>
      <c r="F666" s="356">
        <f>SUM(F667:F672)</f>
        <v>7320000</v>
      </c>
      <c r="G666" s="356">
        <f>SUM(G667:G672)</f>
        <v>1098000</v>
      </c>
      <c r="H666" s="356">
        <f>SUM(H667:H672)</f>
        <v>6222000</v>
      </c>
      <c r="I666" s="356">
        <f>SUM(I667:I672)</f>
        <v>0</v>
      </c>
      <c r="J666" s="357">
        <f>SUM(J667:J672)</f>
        <v>0</v>
      </c>
      <c r="K666" s="353"/>
    </row>
    <row r="667" spans="1:226" s="353" customFormat="1" ht="15" hidden="1" customHeight="1">
      <c r="A667" s="1557"/>
      <c r="B667" s="1560"/>
      <c r="C667" s="1563"/>
      <c r="D667" s="1566"/>
      <c r="E667" s="358" t="s">
        <v>471</v>
      </c>
      <c r="F667" s="359">
        <f t="shared" ref="F667:F672" si="56">SUM(G667:J667)</f>
        <v>0</v>
      </c>
      <c r="G667" s="359"/>
      <c r="H667" s="359"/>
      <c r="I667" s="359"/>
      <c r="J667" s="360"/>
    </row>
    <row r="668" spans="1:226" s="354" customFormat="1" ht="15" customHeight="1">
      <c r="A668" s="1557"/>
      <c r="B668" s="1560"/>
      <c r="C668" s="1563"/>
      <c r="D668" s="1566"/>
      <c r="E668" s="358" t="s">
        <v>414</v>
      </c>
      <c r="F668" s="359">
        <f t="shared" si="56"/>
        <v>5627000</v>
      </c>
      <c r="G668" s="359"/>
      <c r="H668" s="359">
        <v>5627000</v>
      </c>
      <c r="I668" s="359"/>
      <c r="J668" s="360"/>
      <c r="K668" s="353"/>
      <c r="L668" s="353"/>
      <c r="M668" s="353"/>
      <c r="N668" s="353"/>
      <c r="O668" s="353"/>
      <c r="P668" s="353"/>
      <c r="Q668" s="353"/>
      <c r="R668" s="353"/>
      <c r="S668" s="353"/>
      <c r="T668" s="353"/>
      <c r="U668" s="353"/>
      <c r="V668" s="353"/>
      <c r="W668" s="353"/>
      <c r="X668" s="353"/>
      <c r="Y668" s="353"/>
      <c r="Z668" s="353"/>
      <c r="AA668" s="353"/>
      <c r="AB668" s="353"/>
      <c r="AC668" s="353"/>
      <c r="AD668" s="353"/>
      <c r="AE668" s="353"/>
      <c r="AF668" s="353"/>
      <c r="AG668" s="353"/>
      <c r="AH668" s="353"/>
      <c r="AI668" s="353"/>
      <c r="AJ668" s="353"/>
      <c r="AK668" s="353"/>
      <c r="AL668" s="353"/>
      <c r="AM668" s="353"/>
      <c r="AN668" s="353"/>
      <c r="AO668" s="353"/>
      <c r="AP668" s="353"/>
      <c r="AQ668" s="353"/>
      <c r="AR668" s="353"/>
      <c r="AS668" s="353"/>
      <c r="AT668" s="353"/>
      <c r="AU668" s="353"/>
      <c r="AV668" s="353"/>
      <c r="AW668" s="353"/>
      <c r="AX668" s="353"/>
      <c r="AY668" s="353"/>
      <c r="AZ668" s="353"/>
      <c r="BA668" s="353"/>
      <c r="BB668" s="353"/>
      <c r="BC668" s="353"/>
      <c r="BD668" s="353"/>
      <c r="BE668" s="353"/>
      <c r="BF668" s="353"/>
      <c r="BG668" s="353"/>
      <c r="BH668" s="353"/>
      <c r="BI668" s="353"/>
      <c r="BJ668" s="353"/>
      <c r="BK668" s="353"/>
      <c r="BL668" s="353"/>
      <c r="BM668" s="353"/>
      <c r="BN668" s="353"/>
      <c r="BO668" s="353"/>
      <c r="BP668" s="353"/>
      <c r="BQ668" s="353"/>
      <c r="BR668" s="353"/>
      <c r="BS668" s="353"/>
      <c r="BT668" s="353"/>
      <c r="BU668" s="353"/>
      <c r="BV668" s="353"/>
      <c r="BW668" s="353"/>
      <c r="BX668" s="353"/>
      <c r="BY668" s="353"/>
      <c r="BZ668" s="353"/>
      <c r="CA668" s="353"/>
      <c r="CB668" s="353"/>
      <c r="CC668" s="353"/>
      <c r="CD668" s="353"/>
      <c r="CE668" s="353"/>
      <c r="CF668" s="353"/>
      <c r="CG668" s="353"/>
      <c r="CH668" s="353"/>
      <c r="CI668" s="353"/>
      <c r="CJ668" s="353"/>
      <c r="CK668" s="353"/>
      <c r="CL668" s="353"/>
      <c r="CM668" s="353"/>
      <c r="CN668" s="353"/>
      <c r="CO668" s="353"/>
      <c r="CP668" s="353"/>
      <c r="CQ668" s="353"/>
      <c r="CR668" s="353"/>
      <c r="CS668" s="353"/>
      <c r="CT668" s="353"/>
      <c r="CU668" s="353"/>
      <c r="CV668" s="353"/>
      <c r="CW668" s="353"/>
      <c r="CX668" s="353"/>
      <c r="CY668" s="353"/>
      <c r="CZ668" s="353"/>
      <c r="DA668" s="353"/>
      <c r="DB668" s="353"/>
      <c r="DC668" s="353"/>
      <c r="DD668" s="353"/>
      <c r="DE668" s="353"/>
      <c r="DF668" s="353"/>
      <c r="DG668" s="353"/>
      <c r="DH668" s="353"/>
      <c r="DI668" s="353"/>
      <c r="DJ668" s="353"/>
      <c r="DK668" s="353"/>
      <c r="DL668" s="353"/>
      <c r="DM668" s="353"/>
      <c r="DN668" s="353"/>
      <c r="DO668" s="353"/>
      <c r="DP668" s="353"/>
      <c r="DQ668" s="353"/>
      <c r="DR668" s="353"/>
      <c r="DS668" s="353"/>
      <c r="DT668" s="353"/>
      <c r="DU668" s="353"/>
      <c r="DV668" s="353"/>
      <c r="DW668" s="353"/>
      <c r="DX668" s="353"/>
      <c r="DY668" s="353"/>
      <c r="DZ668" s="353"/>
      <c r="EA668" s="353"/>
      <c r="EB668" s="353"/>
      <c r="EC668" s="353"/>
      <c r="ED668" s="353"/>
      <c r="EE668" s="353"/>
      <c r="EF668" s="353"/>
      <c r="EG668" s="353"/>
      <c r="EH668" s="353"/>
      <c r="EI668" s="353"/>
      <c r="EJ668" s="353"/>
      <c r="EK668" s="353"/>
      <c r="EL668" s="353"/>
      <c r="EM668" s="353"/>
      <c r="EN668" s="353"/>
      <c r="EO668" s="353"/>
      <c r="EP668" s="353"/>
      <c r="EQ668" s="353"/>
      <c r="ER668" s="353"/>
      <c r="ES668" s="353"/>
      <c r="ET668" s="353"/>
      <c r="EU668" s="353"/>
      <c r="EV668" s="353"/>
      <c r="EW668" s="353"/>
      <c r="EX668" s="353"/>
      <c r="EY668" s="353"/>
      <c r="EZ668" s="353"/>
      <c r="FA668" s="353"/>
      <c r="FB668" s="353"/>
      <c r="FC668" s="353"/>
      <c r="FD668" s="353"/>
      <c r="FE668" s="353"/>
      <c r="FF668" s="353"/>
      <c r="FG668" s="353"/>
      <c r="FH668" s="353"/>
      <c r="FI668" s="353"/>
      <c r="FJ668" s="353"/>
      <c r="FK668" s="353"/>
      <c r="FL668" s="353"/>
      <c r="FM668" s="353"/>
      <c r="FN668" s="353"/>
      <c r="FO668" s="353"/>
      <c r="FP668" s="353"/>
      <c r="FQ668" s="353"/>
      <c r="FR668" s="353"/>
      <c r="FS668" s="353"/>
      <c r="FT668" s="353"/>
      <c r="FU668" s="353"/>
      <c r="FV668" s="353"/>
      <c r="FW668" s="353"/>
      <c r="FX668" s="353"/>
      <c r="FY668" s="353"/>
      <c r="FZ668" s="353"/>
      <c r="GA668" s="353"/>
      <c r="GB668" s="353"/>
      <c r="GC668" s="353"/>
      <c r="GD668" s="353"/>
      <c r="GE668" s="353"/>
      <c r="GF668" s="353"/>
      <c r="GG668" s="353"/>
      <c r="GH668" s="353"/>
      <c r="GI668" s="353"/>
      <c r="GJ668" s="353"/>
      <c r="GK668" s="353"/>
      <c r="GL668" s="353"/>
      <c r="GM668" s="353"/>
      <c r="GN668" s="353"/>
      <c r="GO668" s="353"/>
      <c r="GP668" s="353"/>
      <c r="GQ668" s="353"/>
      <c r="GR668" s="353"/>
      <c r="GS668" s="353"/>
      <c r="GT668" s="353"/>
      <c r="GU668" s="353"/>
      <c r="GV668" s="353"/>
      <c r="GW668" s="353"/>
      <c r="GX668" s="353"/>
      <c r="GY668" s="353"/>
      <c r="GZ668" s="353"/>
      <c r="HA668" s="353"/>
      <c r="HB668" s="353"/>
      <c r="HC668" s="353"/>
      <c r="HD668" s="353"/>
      <c r="HE668" s="353"/>
      <c r="HF668" s="353"/>
      <c r="HG668" s="353"/>
      <c r="HH668" s="353"/>
      <c r="HI668" s="353"/>
      <c r="HJ668" s="353"/>
      <c r="HK668" s="353"/>
      <c r="HL668" s="353"/>
      <c r="HM668" s="353"/>
      <c r="HN668" s="353"/>
      <c r="HO668" s="353"/>
      <c r="HP668" s="353"/>
      <c r="HQ668" s="353"/>
      <c r="HR668" s="353"/>
    </row>
    <row r="669" spans="1:226" s="354" customFormat="1" ht="15" customHeight="1">
      <c r="A669" s="1557"/>
      <c r="B669" s="1560"/>
      <c r="C669" s="1563"/>
      <c r="D669" s="1566"/>
      <c r="E669" s="411">
        <v>6059</v>
      </c>
      <c r="F669" s="412">
        <f t="shared" si="56"/>
        <v>993000</v>
      </c>
      <c r="G669" s="412">
        <v>993000</v>
      </c>
      <c r="H669" s="412"/>
      <c r="I669" s="412"/>
      <c r="J669" s="413"/>
      <c r="K669" s="353"/>
    </row>
    <row r="670" spans="1:226" s="354" customFormat="1" ht="15" hidden="1" customHeight="1">
      <c r="A670" s="1557"/>
      <c r="B670" s="1560"/>
      <c r="C670" s="1563"/>
      <c r="D670" s="1566"/>
      <c r="E670" s="411">
        <v>6060</v>
      </c>
      <c r="F670" s="412">
        <f t="shared" si="56"/>
        <v>0</v>
      </c>
      <c r="G670" s="412"/>
      <c r="H670" s="412"/>
      <c r="I670" s="412"/>
      <c r="J670" s="413"/>
      <c r="K670" s="353"/>
    </row>
    <row r="671" spans="1:226" s="354" customFormat="1" ht="15" customHeight="1">
      <c r="A671" s="1557"/>
      <c r="B671" s="1560"/>
      <c r="C671" s="1563"/>
      <c r="D671" s="1566"/>
      <c r="E671" s="363" t="s">
        <v>408</v>
      </c>
      <c r="F671" s="412">
        <f t="shared" si="56"/>
        <v>595000</v>
      </c>
      <c r="G671" s="412"/>
      <c r="H671" s="412">
        <v>595000</v>
      </c>
      <c r="I671" s="412"/>
      <c r="J671" s="413"/>
      <c r="K671" s="353"/>
    </row>
    <row r="672" spans="1:226" s="354" customFormat="1" ht="15" customHeight="1">
      <c r="A672" s="1558"/>
      <c r="B672" s="1561"/>
      <c r="C672" s="1564"/>
      <c r="D672" s="1567"/>
      <c r="E672" s="396">
        <v>6069</v>
      </c>
      <c r="F672" s="359">
        <f t="shared" si="56"/>
        <v>105000</v>
      </c>
      <c r="G672" s="359">
        <v>105000</v>
      </c>
      <c r="H672" s="359"/>
      <c r="I672" s="359"/>
      <c r="J672" s="360"/>
      <c r="K672" s="353"/>
    </row>
    <row r="673" spans="1:226" s="354" customFormat="1" ht="24.95" customHeight="1">
      <c r="A673" s="1556" t="s">
        <v>387</v>
      </c>
      <c r="B673" s="1559" t="s">
        <v>481</v>
      </c>
      <c r="C673" s="1562">
        <v>600</v>
      </c>
      <c r="D673" s="1565" t="s">
        <v>470</v>
      </c>
      <c r="E673" s="350" t="s">
        <v>315</v>
      </c>
      <c r="F673" s="351">
        <f>SUM(F674,F681)</f>
        <v>9120400</v>
      </c>
      <c r="G673" s="351">
        <f>SUM(G674,G681)</f>
        <v>1368059</v>
      </c>
      <c r="H673" s="351">
        <f>SUM(H674,H681)</f>
        <v>7752341</v>
      </c>
      <c r="I673" s="351">
        <f>SUM(I674,I681)</f>
        <v>0</v>
      </c>
      <c r="J673" s="352">
        <f>SUM(J674,J681)</f>
        <v>0</v>
      </c>
      <c r="K673" s="353"/>
    </row>
    <row r="674" spans="1:226" s="354" customFormat="1" ht="24.95" customHeight="1">
      <c r="A674" s="1557"/>
      <c r="B674" s="1560"/>
      <c r="C674" s="1563"/>
      <c r="D674" s="1566"/>
      <c r="E674" s="355" t="s">
        <v>316</v>
      </c>
      <c r="F674" s="356">
        <f>SUM(F675,F678)</f>
        <v>0</v>
      </c>
      <c r="G674" s="356">
        <f>SUM(G675,G678)</f>
        <v>0</v>
      </c>
      <c r="H674" s="356">
        <f>SUM(H675,H678)</f>
        <v>0</v>
      </c>
      <c r="I674" s="356">
        <f>SUM(I675,I678)</f>
        <v>0</v>
      </c>
      <c r="J674" s="357">
        <f>SUM(J675,J678)</f>
        <v>0</v>
      </c>
      <c r="K674" s="353"/>
    </row>
    <row r="675" spans="1:226" s="354" customFormat="1" ht="24.95" hidden="1" customHeight="1">
      <c r="A675" s="1557"/>
      <c r="B675" s="1560"/>
      <c r="C675" s="1563"/>
      <c r="D675" s="1566"/>
      <c r="E675" s="393" t="s">
        <v>333</v>
      </c>
      <c r="F675" s="394">
        <f>SUM(F676:F677)</f>
        <v>0</v>
      </c>
      <c r="G675" s="394">
        <f>SUM(G676:G677)</f>
        <v>0</v>
      </c>
      <c r="H675" s="394">
        <f>SUM(H676:H677)</f>
        <v>0</v>
      </c>
      <c r="I675" s="394">
        <f>SUM(I676:I677)</f>
        <v>0</v>
      </c>
      <c r="J675" s="395">
        <f>SUM(J676:J677)</f>
        <v>0</v>
      </c>
      <c r="K675" s="353"/>
    </row>
    <row r="676" spans="1:226" s="354" customFormat="1" ht="15" hidden="1" customHeight="1">
      <c r="A676" s="1557"/>
      <c r="B676" s="1560"/>
      <c r="C676" s="1563"/>
      <c r="D676" s="1566"/>
      <c r="E676" s="358"/>
      <c r="F676" s="359">
        <f>SUM(G676:J676)</f>
        <v>0</v>
      </c>
      <c r="G676" s="359"/>
      <c r="H676" s="359"/>
      <c r="I676" s="359"/>
      <c r="J676" s="360"/>
      <c r="K676" s="353"/>
    </row>
    <row r="677" spans="1:226" s="354" customFormat="1" ht="15" hidden="1" customHeight="1">
      <c r="A677" s="1557"/>
      <c r="B677" s="1560"/>
      <c r="C677" s="1563"/>
      <c r="D677" s="1566"/>
      <c r="E677" s="358"/>
      <c r="F677" s="359">
        <f>SUM(G677:J677)</f>
        <v>0</v>
      </c>
      <c r="G677" s="359"/>
      <c r="H677" s="359"/>
      <c r="I677" s="359"/>
      <c r="J677" s="360"/>
      <c r="K677" s="353"/>
    </row>
    <row r="678" spans="1:226" s="354" customFormat="1" ht="24.95" hidden="1" customHeight="1">
      <c r="A678" s="1557"/>
      <c r="B678" s="1560"/>
      <c r="C678" s="1563"/>
      <c r="D678" s="1566"/>
      <c r="E678" s="393" t="s">
        <v>338</v>
      </c>
      <c r="F678" s="394">
        <f>SUM(F679:F680)</f>
        <v>0</v>
      </c>
      <c r="G678" s="394">
        <f>SUM(G679:G680)</f>
        <v>0</v>
      </c>
      <c r="H678" s="394">
        <f>SUM(H679:H680)</f>
        <v>0</v>
      </c>
      <c r="I678" s="394">
        <f>SUM(I679:I680)</f>
        <v>0</v>
      </c>
      <c r="J678" s="395">
        <f>SUM(J679:J680)</f>
        <v>0</v>
      </c>
      <c r="K678" s="353"/>
    </row>
    <row r="679" spans="1:226" s="354" customFormat="1" ht="15" hidden="1" customHeight="1">
      <c r="A679" s="1557"/>
      <c r="B679" s="1560"/>
      <c r="C679" s="1563"/>
      <c r="D679" s="1566"/>
      <c r="E679" s="358"/>
      <c r="F679" s="359">
        <f>SUM(G679:J679)</f>
        <v>0</v>
      </c>
      <c r="G679" s="359"/>
      <c r="H679" s="359"/>
      <c r="I679" s="359"/>
      <c r="J679" s="360"/>
      <c r="K679" s="353"/>
    </row>
    <row r="680" spans="1:226" s="354" customFormat="1" ht="15" hidden="1" customHeight="1">
      <c r="A680" s="1557"/>
      <c r="B680" s="1560"/>
      <c r="C680" s="1563"/>
      <c r="D680" s="1566"/>
      <c r="E680" s="358"/>
      <c r="F680" s="359">
        <f>SUM(G680:J680)</f>
        <v>0</v>
      </c>
      <c r="G680" s="359"/>
      <c r="H680" s="359"/>
      <c r="I680" s="359"/>
      <c r="J680" s="360"/>
      <c r="K680" s="353"/>
    </row>
    <row r="681" spans="1:226" s="354" customFormat="1" ht="24.95" customHeight="1">
      <c r="A681" s="1557"/>
      <c r="B681" s="1560"/>
      <c r="C681" s="1563"/>
      <c r="D681" s="1566"/>
      <c r="E681" s="361" t="s">
        <v>318</v>
      </c>
      <c r="F681" s="356">
        <f>SUM(F682:F687)</f>
        <v>9120400</v>
      </c>
      <c r="G681" s="356">
        <f>SUM(G682:G687)</f>
        <v>1368059</v>
      </c>
      <c r="H681" s="356">
        <f>SUM(H682:H687)</f>
        <v>7752341</v>
      </c>
      <c r="I681" s="356">
        <f>SUM(I682:I687)</f>
        <v>0</v>
      </c>
      <c r="J681" s="357">
        <f>SUM(J682:J687)</f>
        <v>0</v>
      </c>
      <c r="K681" s="353"/>
    </row>
    <row r="682" spans="1:226" s="353" customFormat="1" ht="15" hidden="1" customHeight="1">
      <c r="A682" s="1557"/>
      <c r="B682" s="1560"/>
      <c r="C682" s="1563"/>
      <c r="D682" s="1566"/>
      <c r="E682" s="358" t="s">
        <v>471</v>
      </c>
      <c r="F682" s="359">
        <f>SUM(G682:J682)</f>
        <v>0</v>
      </c>
      <c r="G682" s="359"/>
      <c r="H682" s="359"/>
      <c r="I682" s="359"/>
      <c r="J682" s="360"/>
    </row>
    <row r="683" spans="1:226" s="353" customFormat="1" ht="15" customHeight="1">
      <c r="A683" s="1557"/>
      <c r="B683" s="1560"/>
      <c r="C683" s="1563"/>
      <c r="D683" s="1566"/>
      <c r="E683" s="358" t="s">
        <v>414</v>
      </c>
      <c r="F683" s="359">
        <f t="shared" ref="F683:F686" si="57">SUM(G683:J683)</f>
        <v>6307341</v>
      </c>
      <c r="G683" s="359"/>
      <c r="H683" s="359">
        <v>6307341</v>
      </c>
      <c r="I683" s="359"/>
      <c r="J683" s="360"/>
    </row>
    <row r="684" spans="1:226" s="353" customFormat="1" ht="15" customHeight="1">
      <c r="A684" s="1557"/>
      <c r="B684" s="1560"/>
      <c r="C684" s="1563"/>
      <c r="D684" s="1566"/>
      <c r="E684" s="358" t="s">
        <v>472</v>
      </c>
      <c r="F684" s="359">
        <f t="shared" si="57"/>
        <v>1113059</v>
      </c>
      <c r="G684" s="359">
        <v>1113059</v>
      </c>
      <c r="H684" s="359"/>
      <c r="I684" s="359"/>
      <c r="J684" s="360"/>
    </row>
    <row r="685" spans="1:226" s="353" customFormat="1" ht="15" hidden="1" customHeight="1">
      <c r="A685" s="1557"/>
      <c r="B685" s="1560"/>
      <c r="C685" s="1563"/>
      <c r="D685" s="1566"/>
      <c r="E685" s="358" t="s">
        <v>407</v>
      </c>
      <c r="F685" s="359">
        <f t="shared" si="57"/>
        <v>0</v>
      </c>
      <c r="G685" s="359"/>
      <c r="H685" s="359"/>
      <c r="I685" s="359"/>
      <c r="J685" s="360"/>
    </row>
    <row r="686" spans="1:226" s="354" customFormat="1" ht="15" customHeight="1">
      <c r="A686" s="1557"/>
      <c r="B686" s="1560"/>
      <c r="C686" s="1563"/>
      <c r="D686" s="1566"/>
      <c r="E686" s="358" t="s">
        <v>408</v>
      </c>
      <c r="F686" s="359">
        <f t="shared" si="57"/>
        <v>1445000</v>
      </c>
      <c r="G686" s="359"/>
      <c r="H686" s="359">
        <v>1445000</v>
      </c>
      <c r="I686" s="359"/>
      <c r="J686" s="360"/>
      <c r="K686" s="353"/>
      <c r="L686" s="353"/>
      <c r="M686" s="353"/>
      <c r="N686" s="353"/>
      <c r="O686" s="353"/>
      <c r="P686" s="353"/>
      <c r="Q686" s="353"/>
      <c r="R686" s="353"/>
      <c r="S686" s="353"/>
      <c r="T686" s="353"/>
      <c r="U686" s="353"/>
      <c r="V686" s="353"/>
      <c r="W686" s="353"/>
      <c r="X686" s="353"/>
      <c r="Y686" s="353"/>
      <c r="Z686" s="353"/>
      <c r="AA686" s="353"/>
      <c r="AB686" s="353"/>
      <c r="AC686" s="353"/>
      <c r="AD686" s="353"/>
      <c r="AE686" s="353"/>
      <c r="AF686" s="353"/>
      <c r="AG686" s="353"/>
      <c r="AH686" s="353"/>
      <c r="AI686" s="353"/>
      <c r="AJ686" s="353"/>
      <c r="AK686" s="353"/>
      <c r="AL686" s="353"/>
      <c r="AM686" s="353"/>
      <c r="AN686" s="353"/>
      <c r="AO686" s="353"/>
      <c r="AP686" s="353"/>
      <c r="AQ686" s="353"/>
      <c r="AR686" s="353"/>
      <c r="AS686" s="353"/>
      <c r="AT686" s="353"/>
      <c r="AU686" s="353"/>
      <c r="AV686" s="353"/>
      <c r="AW686" s="353"/>
      <c r="AX686" s="353"/>
      <c r="AY686" s="353"/>
      <c r="AZ686" s="353"/>
      <c r="BA686" s="353"/>
      <c r="BB686" s="353"/>
      <c r="BC686" s="353"/>
      <c r="BD686" s="353"/>
      <c r="BE686" s="353"/>
      <c r="BF686" s="353"/>
      <c r="BG686" s="353"/>
      <c r="BH686" s="353"/>
      <c r="BI686" s="353"/>
      <c r="BJ686" s="353"/>
      <c r="BK686" s="353"/>
      <c r="BL686" s="353"/>
      <c r="BM686" s="353"/>
      <c r="BN686" s="353"/>
      <c r="BO686" s="353"/>
      <c r="BP686" s="353"/>
      <c r="BQ686" s="353"/>
      <c r="BR686" s="353"/>
      <c r="BS686" s="353"/>
      <c r="BT686" s="353"/>
      <c r="BU686" s="353"/>
      <c r="BV686" s="353"/>
      <c r="BW686" s="353"/>
      <c r="BX686" s="353"/>
      <c r="BY686" s="353"/>
      <c r="BZ686" s="353"/>
      <c r="CA686" s="353"/>
      <c r="CB686" s="353"/>
      <c r="CC686" s="353"/>
      <c r="CD686" s="353"/>
      <c r="CE686" s="353"/>
      <c r="CF686" s="353"/>
      <c r="CG686" s="353"/>
      <c r="CH686" s="353"/>
      <c r="CI686" s="353"/>
      <c r="CJ686" s="353"/>
      <c r="CK686" s="353"/>
      <c r="CL686" s="353"/>
      <c r="CM686" s="353"/>
      <c r="CN686" s="353"/>
      <c r="CO686" s="353"/>
      <c r="CP686" s="353"/>
      <c r="CQ686" s="353"/>
      <c r="CR686" s="353"/>
      <c r="CS686" s="353"/>
      <c r="CT686" s="353"/>
      <c r="CU686" s="353"/>
      <c r="CV686" s="353"/>
      <c r="CW686" s="353"/>
      <c r="CX686" s="353"/>
      <c r="CY686" s="353"/>
      <c r="CZ686" s="353"/>
      <c r="DA686" s="353"/>
      <c r="DB686" s="353"/>
      <c r="DC686" s="353"/>
      <c r="DD686" s="353"/>
      <c r="DE686" s="353"/>
      <c r="DF686" s="353"/>
      <c r="DG686" s="353"/>
      <c r="DH686" s="353"/>
      <c r="DI686" s="353"/>
      <c r="DJ686" s="353"/>
      <c r="DK686" s="353"/>
      <c r="DL686" s="353"/>
      <c r="DM686" s="353"/>
      <c r="DN686" s="353"/>
      <c r="DO686" s="353"/>
      <c r="DP686" s="353"/>
      <c r="DQ686" s="353"/>
      <c r="DR686" s="353"/>
      <c r="DS686" s="353"/>
      <c r="DT686" s="353"/>
      <c r="DU686" s="353"/>
      <c r="DV686" s="353"/>
      <c r="DW686" s="353"/>
      <c r="DX686" s="353"/>
      <c r="DY686" s="353"/>
      <c r="DZ686" s="353"/>
      <c r="EA686" s="353"/>
      <c r="EB686" s="353"/>
      <c r="EC686" s="353"/>
      <c r="ED686" s="353"/>
      <c r="EE686" s="353"/>
      <c r="EF686" s="353"/>
      <c r="EG686" s="353"/>
      <c r="EH686" s="353"/>
      <c r="EI686" s="353"/>
      <c r="EJ686" s="353"/>
      <c r="EK686" s="353"/>
      <c r="EL686" s="353"/>
      <c r="EM686" s="353"/>
      <c r="EN686" s="353"/>
      <c r="EO686" s="353"/>
      <c r="EP686" s="353"/>
      <c r="EQ686" s="353"/>
      <c r="ER686" s="353"/>
      <c r="ES686" s="353"/>
      <c r="ET686" s="353"/>
      <c r="EU686" s="353"/>
      <c r="EV686" s="353"/>
      <c r="EW686" s="353"/>
      <c r="EX686" s="353"/>
      <c r="EY686" s="353"/>
      <c r="EZ686" s="353"/>
      <c r="FA686" s="353"/>
      <c r="FB686" s="353"/>
      <c r="FC686" s="353"/>
      <c r="FD686" s="353"/>
      <c r="FE686" s="353"/>
      <c r="FF686" s="353"/>
      <c r="FG686" s="353"/>
      <c r="FH686" s="353"/>
      <c r="FI686" s="353"/>
      <c r="FJ686" s="353"/>
      <c r="FK686" s="353"/>
      <c r="FL686" s="353"/>
      <c r="FM686" s="353"/>
      <c r="FN686" s="353"/>
      <c r="FO686" s="353"/>
      <c r="FP686" s="353"/>
      <c r="FQ686" s="353"/>
      <c r="FR686" s="353"/>
      <c r="FS686" s="353"/>
      <c r="FT686" s="353"/>
      <c r="FU686" s="353"/>
      <c r="FV686" s="353"/>
      <c r="FW686" s="353"/>
      <c r="FX686" s="353"/>
      <c r="FY686" s="353"/>
      <c r="FZ686" s="353"/>
      <c r="GA686" s="353"/>
      <c r="GB686" s="353"/>
      <c r="GC686" s="353"/>
      <c r="GD686" s="353"/>
      <c r="GE686" s="353"/>
      <c r="GF686" s="353"/>
      <c r="GG686" s="353"/>
      <c r="GH686" s="353"/>
      <c r="GI686" s="353"/>
      <c r="GJ686" s="353"/>
      <c r="GK686" s="353"/>
      <c r="GL686" s="353"/>
      <c r="GM686" s="353"/>
      <c r="GN686" s="353"/>
      <c r="GO686" s="353"/>
      <c r="GP686" s="353"/>
      <c r="GQ686" s="353"/>
      <c r="GR686" s="353"/>
      <c r="GS686" s="353"/>
      <c r="GT686" s="353"/>
      <c r="GU686" s="353"/>
      <c r="GV686" s="353"/>
      <c r="GW686" s="353"/>
      <c r="GX686" s="353"/>
      <c r="GY686" s="353"/>
      <c r="GZ686" s="353"/>
      <c r="HA686" s="353"/>
      <c r="HB686" s="353"/>
      <c r="HC686" s="353"/>
      <c r="HD686" s="353"/>
      <c r="HE686" s="353"/>
      <c r="HF686" s="353"/>
      <c r="HG686" s="353"/>
      <c r="HH686" s="353"/>
      <c r="HI686" s="353"/>
      <c r="HJ686" s="353"/>
      <c r="HK686" s="353"/>
      <c r="HL686" s="353"/>
      <c r="HM686" s="353"/>
      <c r="HN686" s="353"/>
      <c r="HO686" s="353"/>
      <c r="HP686" s="353"/>
      <c r="HQ686" s="353"/>
      <c r="HR686" s="353"/>
    </row>
    <row r="687" spans="1:226" s="354" customFormat="1" ht="15" customHeight="1">
      <c r="A687" s="1558"/>
      <c r="B687" s="1561"/>
      <c r="C687" s="1564"/>
      <c r="D687" s="1567"/>
      <c r="E687" s="396">
        <v>6069</v>
      </c>
      <c r="F687" s="359">
        <f>SUM(G687:J687)</f>
        <v>255000</v>
      </c>
      <c r="G687" s="359">
        <v>255000</v>
      </c>
      <c r="H687" s="359"/>
      <c r="I687" s="359"/>
      <c r="J687" s="360"/>
      <c r="K687" s="353"/>
    </row>
    <row r="688" spans="1:226" s="354" customFormat="1" ht="24.95" customHeight="1">
      <c r="A688" s="1547" t="s">
        <v>404</v>
      </c>
      <c r="B688" s="1548" t="s">
        <v>482</v>
      </c>
      <c r="C688" s="1570">
        <v>600</v>
      </c>
      <c r="D688" s="1572" t="s">
        <v>470</v>
      </c>
      <c r="E688" s="350" t="s">
        <v>315</v>
      </c>
      <c r="F688" s="351">
        <f>SUM(F689,F696)</f>
        <v>5200000</v>
      </c>
      <c r="G688" s="351">
        <f>SUM(G689,G696)</f>
        <v>780000</v>
      </c>
      <c r="H688" s="351">
        <f>SUM(H689,H696)</f>
        <v>4420000</v>
      </c>
      <c r="I688" s="351">
        <f>SUM(I689,I696)</f>
        <v>0</v>
      </c>
      <c r="J688" s="352">
        <f>SUM(J689,J696)</f>
        <v>0</v>
      </c>
      <c r="K688" s="353"/>
    </row>
    <row r="689" spans="1:226" s="354" customFormat="1" ht="24.95" customHeight="1">
      <c r="A689" s="1547"/>
      <c r="B689" s="1548"/>
      <c r="C689" s="1570"/>
      <c r="D689" s="1572"/>
      <c r="E689" s="355" t="s">
        <v>316</v>
      </c>
      <c r="F689" s="356">
        <f>SUM(F690,F693)</f>
        <v>0</v>
      </c>
      <c r="G689" s="356">
        <f>SUM(G690,G693)</f>
        <v>0</v>
      </c>
      <c r="H689" s="356">
        <f>SUM(H690,H693)</f>
        <v>0</v>
      </c>
      <c r="I689" s="356">
        <f>SUM(I690,I693)</f>
        <v>0</v>
      </c>
      <c r="J689" s="357">
        <f>SUM(J690,J693)</f>
        <v>0</v>
      </c>
      <c r="K689" s="353"/>
    </row>
    <row r="690" spans="1:226" s="354" customFormat="1" ht="24.95" hidden="1" customHeight="1">
      <c r="A690" s="1547"/>
      <c r="B690" s="1548"/>
      <c r="C690" s="1570"/>
      <c r="D690" s="1572"/>
      <c r="E690" s="393" t="s">
        <v>333</v>
      </c>
      <c r="F690" s="394">
        <f>SUM(F691:F692)</f>
        <v>0</v>
      </c>
      <c r="G690" s="394">
        <f>SUM(G691:G692)</f>
        <v>0</v>
      </c>
      <c r="H690" s="394">
        <f>SUM(H691:H692)</f>
        <v>0</v>
      </c>
      <c r="I690" s="394">
        <f>SUM(I691:I692)</f>
        <v>0</v>
      </c>
      <c r="J690" s="395">
        <f>SUM(J691:J692)</f>
        <v>0</v>
      </c>
      <c r="K690" s="353"/>
    </row>
    <row r="691" spans="1:226" s="354" customFormat="1" ht="15" hidden="1" customHeight="1">
      <c r="A691" s="1547"/>
      <c r="B691" s="1548"/>
      <c r="C691" s="1570"/>
      <c r="D691" s="1572"/>
      <c r="E691" s="358"/>
      <c r="F691" s="359">
        <f>SUM(G691:J691)</f>
        <v>0</v>
      </c>
      <c r="G691" s="359"/>
      <c r="H691" s="359"/>
      <c r="I691" s="359"/>
      <c r="J691" s="360"/>
      <c r="K691" s="353"/>
    </row>
    <row r="692" spans="1:226" s="354" customFormat="1" ht="15" hidden="1" customHeight="1">
      <c r="A692" s="1547"/>
      <c r="B692" s="1548"/>
      <c r="C692" s="1570"/>
      <c r="D692" s="1572"/>
      <c r="E692" s="358"/>
      <c r="F692" s="359">
        <f>SUM(G692:J692)</f>
        <v>0</v>
      </c>
      <c r="G692" s="359"/>
      <c r="H692" s="359"/>
      <c r="I692" s="359"/>
      <c r="J692" s="360"/>
      <c r="K692" s="353"/>
      <c r="L692" s="353"/>
      <c r="M692" s="353"/>
      <c r="N692" s="353"/>
      <c r="O692" s="353"/>
      <c r="P692" s="353"/>
      <c r="Q692" s="353"/>
      <c r="R692" s="353"/>
      <c r="S692" s="353"/>
      <c r="T692" s="353"/>
      <c r="U692" s="353"/>
      <c r="V692" s="353"/>
      <c r="W692" s="353"/>
      <c r="X692" s="353"/>
      <c r="Y692" s="353"/>
      <c r="Z692" s="353"/>
      <c r="AA692" s="353"/>
      <c r="AB692" s="353"/>
      <c r="AC692" s="353"/>
      <c r="AD692" s="353"/>
      <c r="AE692" s="353"/>
      <c r="AF692" s="353"/>
      <c r="AG692" s="353"/>
      <c r="AH692" s="353"/>
      <c r="AI692" s="353"/>
      <c r="AJ692" s="353"/>
      <c r="AK692" s="353"/>
      <c r="AL692" s="353"/>
      <c r="AM692" s="353"/>
      <c r="AN692" s="353"/>
      <c r="AO692" s="353"/>
      <c r="AP692" s="353"/>
      <c r="AQ692" s="353"/>
      <c r="AR692" s="353"/>
      <c r="AS692" s="353"/>
      <c r="AT692" s="353"/>
      <c r="AU692" s="353"/>
      <c r="AV692" s="353"/>
      <c r="AW692" s="353"/>
      <c r="AX692" s="353"/>
      <c r="AY692" s="353"/>
      <c r="AZ692" s="353"/>
      <c r="BA692" s="353"/>
      <c r="BB692" s="353"/>
      <c r="BC692" s="353"/>
      <c r="BD692" s="353"/>
      <c r="BE692" s="353"/>
      <c r="BF692" s="353"/>
      <c r="BG692" s="353"/>
      <c r="BH692" s="353"/>
      <c r="BI692" s="353"/>
      <c r="BJ692" s="353"/>
      <c r="BK692" s="353"/>
      <c r="BL692" s="353"/>
      <c r="BM692" s="353"/>
      <c r="BN692" s="353"/>
      <c r="BO692" s="353"/>
      <c r="BP692" s="353"/>
      <c r="BQ692" s="353"/>
      <c r="BR692" s="353"/>
      <c r="BS692" s="353"/>
      <c r="BT692" s="353"/>
      <c r="BU692" s="353"/>
      <c r="BV692" s="353"/>
      <c r="BW692" s="353"/>
      <c r="BX692" s="353"/>
      <c r="BY692" s="353"/>
      <c r="BZ692" s="353"/>
      <c r="CA692" s="353"/>
      <c r="CB692" s="353"/>
      <c r="CC692" s="353"/>
      <c r="CD692" s="353"/>
      <c r="CE692" s="353"/>
      <c r="CF692" s="353"/>
      <c r="CG692" s="353"/>
      <c r="CH692" s="353"/>
      <c r="CI692" s="353"/>
      <c r="CJ692" s="353"/>
      <c r="CK692" s="353"/>
      <c r="CL692" s="353"/>
      <c r="CM692" s="353"/>
      <c r="CN692" s="353"/>
      <c r="CO692" s="353"/>
      <c r="CP692" s="353"/>
      <c r="CQ692" s="353"/>
      <c r="CR692" s="353"/>
      <c r="CS692" s="353"/>
      <c r="CT692" s="353"/>
      <c r="CU692" s="353"/>
      <c r="CV692" s="353"/>
      <c r="CW692" s="353"/>
      <c r="CX692" s="353"/>
      <c r="CY692" s="353"/>
      <c r="CZ692" s="353"/>
      <c r="DA692" s="353"/>
      <c r="DB692" s="353"/>
      <c r="DC692" s="353"/>
      <c r="DD692" s="353"/>
      <c r="DE692" s="353"/>
      <c r="DF692" s="353"/>
      <c r="DG692" s="353"/>
      <c r="DH692" s="353"/>
      <c r="DI692" s="353"/>
      <c r="DJ692" s="353"/>
      <c r="DK692" s="353"/>
      <c r="DL692" s="353"/>
      <c r="DM692" s="353"/>
      <c r="DN692" s="353"/>
      <c r="DO692" s="353"/>
      <c r="DP692" s="353"/>
      <c r="DQ692" s="353"/>
      <c r="DR692" s="353"/>
      <c r="DS692" s="353"/>
      <c r="DT692" s="353"/>
      <c r="DU692" s="353"/>
      <c r="DV692" s="353"/>
      <c r="DW692" s="353"/>
      <c r="DX692" s="353"/>
      <c r="DY692" s="353"/>
      <c r="DZ692" s="353"/>
      <c r="EA692" s="353"/>
      <c r="EB692" s="353"/>
      <c r="EC692" s="353"/>
      <c r="ED692" s="353"/>
      <c r="EE692" s="353"/>
      <c r="EF692" s="353"/>
      <c r="EG692" s="353"/>
      <c r="EH692" s="353"/>
      <c r="EI692" s="353"/>
      <c r="EJ692" s="353"/>
      <c r="EK692" s="353"/>
      <c r="EL692" s="353"/>
      <c r="EM692" s="353"/>
      <c r="EN692" s="353"/>
      <c r="EO692" s="353"/>
      <c r="EP692" s="353"/>
      <c r="EQ692" s="353"/>
      <c r="ER692" s="353"/>
      <c r="ES692" s="353"/>
      <c r="ET692" s="353"/>
      <c r="EU692" s="353"/>
      <c r="EV692" s="353"/>
      <c r="EW692" s="353"/>
      <c r="EX692" s="353"/>
      <c r="EY692" s="353"/>
      <c r="EZ692" s="353"/>
      <c r="FA692" s="353"/>
      <c r="FB692" s="353"/>
      <c r="FC692" s="353"/>
      <c r="FD692" s="353"/>
      <c r="FE692" s="353"/>
      <c r="FF692" s="353"/>
      <c r="FG692" s="353"/>
      <c r="FH692" s="353"/>
      <c r="FI692" s="353"/>
      <c r="FJ692" s="353"/>
      <c r="FK692" s="353"/>
      <c r="FL692" s="353"/>
      <c r="FM692" s="353"/>
      <c r="FN692" s="353"/>
      <c r="FO692" s="353"/>
      <c r="FP692" s="353"/>
      <c r="FQ692" s="353"/>
      <c r="FR692" s="353"/>
      <c r="FS692" s="353"/>
      <c r="FT692" s="353"/>
      <c r="FU692" s="353"/>
      <c r="FV692" s="353"/>
      <c r="FW692" s="353"/>
      <c r="FX692" s="353"/>
      <c r="FY692" s="353"/>
      <c r="FZ692" s="353"/>
      <c r="GA692" s="353"/>
      <c r="GB692" s="353"/>
      <c r="GC692" s="353"/>
      <c r="GD692" s="353"/>
      <c r="GE692" s="353"/>
      <c r="GF692" s="353"/>
      <c r="GG692" s="353"/>
      <c r="GH692" s="353"/>
      <c r="GI692" s="353"/>
      <c r="GJ692" s="353"/>
      <c r="GK692" s="353"/>
      <c r="GL692" s="353"/>
      <c r="GM692" s="353"/>
      <c r="GN692" s="353"/>
      <c r="GO692" s="353"/>
      <c r="GP692" s="353"/>
      <c r="GQ692" s="353"/>
      <c r="GR692" s="353"/>
      <c r="GS692" s="353"/>
      <c r="GT692" s="353"/>
      <c r="GU692" s="353"/>
      <c r="GV692" s="353"/>
      <c r="GW692" s="353"/>
      <c r="GX692" s="353"/>
      <c r="GY692" s="353"/>
      <c r="GZ692" s="353"/>
      <c r="HA692" s="353"/>
      <c r="HB692" s="353"/>
      <c r="HC692" s="353"/>
      <c r="HD692" s="353"/>
      <c r="HE692" s="353"/>
      <c r="HF692" s="353"/>
      <c r="HG692" s="353"/>
      <c r="HH692" s="353"/>
      <c r="HI692" s="353"/>
      <c r="HJ692" s="353"/>
      <c r="HK692" s="353"/>
      <c r="HL692" s="353"/>
      <c r="HM692" s="353"/>
      <c r="HN692" s="353"/>
      <c r="HO692" s="353"/>
      <c r="HP692" s="353"/>
      <c r="HQ692" s="353"/>
      <c r="HR692" s="353"/>
    </row>
    <row r="693" spans="1:226" s="354" customFormat="1" ht="24.95" hidden="1" customHeight="1">
      <c r="A693" s="1547"/>
      <c r="B693" s="1548"/>
      <c r="C693" s="1570"/>
      <c r="D693" s="1572"/>
      <c r="E693" s="393" t="s">
        <v>338</v>
      </c>
      <c r="F693" s="394">
        <f>SUM(F694:F695)</f>
        <v>0</v>
      </c>
      <c r="G693" s="394">
        <f>SUM(G694:G695)</f>
        <v>0</v>
      </c>
      <c r="H693" s="394">
        <f>SUM(H694:H695)</f>
        <v>0</v>
      </c>
      <c r="I693" s="394">
        <f>SUM(I694:I695)</f>
        <v>0</v>
      </c>
      <c r="J693" s="395">
        <f>SUM(J694:J695)</f>
        <v>0</v>
      </c>
      <c r="K693" s="353"/>
    </row>
    <row r="694" spans="1:226" s="354" customFormat="1" ht="15" hidden="1" customHeight="1">
      <c r="A694" s="1547"/>
      <c r="B694" s="1548"/>
      <c r="C694" s="1570"/>
      <c r="D694" s="1572"/>
      <c r="E694" s="358"/>
      <c r="F694" s="359">
        <f>SUM(G694:J694)</f>
        <v>0</v>
      </c>
      <c r="G694" s="359"/>
      <c r="H694" s="359"/>
      <c r="I694" s="359"/>
      <c r="J694" s="360"/>
      <c r="K694" s="353"/>
    </row>
    <row r="695" spans="1:226" s="354" customFormat="1" ht="15" hidden="1" customHeight="1">
      <c r="A695" s="1547"/>
      <c r="B695" s="1548"/>
      <c r="C695" s="1570"/>
      <c r="D695" s="1572"/>
      <c r="E695" s="358"/>
      <c r="F695" s="359">
        <f>SUM(G695:J695)</f>
        <v>0</v>
      </c>
      <c r="G695" s="359"/>
      <c r="H695" s="359"/>
      <c r="I695" s="359"/>
      <c r="J695" s="360"/>
      <c r="K695" s="353"/>
    </row>
    <row r="696" spans="1:226" s="354" customFormat="1" ht="24.95" customHeight="1">
      <c r="A696" s="1547"/>
      <c r="B696" s="1548"/>
      <c r="C696" s="1570"/>
      <c r="D696" s="1572"/>
      <c r="E696" s="361" t="s">
        <v>318</v>
      </c>
      <c r="F696" s="356">
        <f>SUM(F697:F702)</f>
        <v>5200000</v>
      </c>
      <c r="G696" s="356">
        <f>SUM(G697:G702)</f>
        <v>780000</v>
      </c>
      <c r="H696" s="356">
        <f>SUM(H697:H702)</f>
        <v>4420000</v>
      </c>
      <c r="I696" s="356">
        <f>SUM(I697:I702)</f>
        <v>0</v>
      </c>
      <c r="J696" s="357">
        <f>SUM(J697:J702)</f>
        <v>0</v>
      </c>
      <c r="K696" s="353"/>
    </row>
    <row r="697" spans="1:226" s="354" customFormat="1" ht="15" hidden="1" customHeight="1">
      <c r="A697" s="1547"/>
      <c r="B697" s="1548"/>
      <c r="C697" s="1570"/>
      <c r="D697" s="1572"/>
      <c r="E697" s="358" t="s">
        <v>471</v>
      </c>
      <c r="F697" s="359">
        <f t="shared" ref="F697:F702" si="58">SUM(G697:J697)</f>
        <v>0</v>
      </c>
      <c r="G697" s="359"/>
      <c r="H697" s="359"/>
      <c r="I697" s="359"/>
      <c r="J697" s="360"/>
      <c r="K697" s="353"/>
    </row>
    <row r="698" spans="1:226" s="354" customFormat="1" ht="15" customHeight="1">
      <c r="A698" s="1556"/>
      <c r="B698" s="1559"/>
      <c r="C698" s="1562"/>
      <c r="D698" s="1565"/>
      <c r="E698" s="363" t="s">
        <v>414</v>
      </c>
      <c r="F698" s="359">
        <f t="shared" si="58"/>
        <v>4292500</v>
      </c>
      <c r="G698" s="412"/>
      <c r="H698" s="412">
        <v>4292500</v>
      </c>
      <c r="I698" s="412"/>
      <c r="J698" s="413"/>
      <c r="K698" s="353"/>
    </row>
    <row r="699" spans="1:226" s="354" customFormat="1" ht="15" customHeight="1">
      <c r="A699" s="1556"/>
      <c r="B699" s="1559"/>
      <c r="C699" s="1562"/>
      <c r="D699" s="1565"/>
      <c r="E699" s="363" t="s">
        <v>472</v>
      </c>
      <c r="F699" s="359">
        <f t="shared" si="58"/>
        <v>757500</v>
      </c>
      <c r="G699" s="412">
        <v>757500</v>
      </c>
      <c r="H699" s="412"/>
      <c r="I699" s="412"/>
      <c r="J699" s="413"/>
      <c r="K699" s="353"/>
    </row>
    <row r="700" spans="1:226" s="354" customFormat="1" ht="15" hidden="1" customHeight="1">
      <c r="A700" s="1556"/>
      <c r="B700" s="1559"/>
      <c r="C700" s="1562"/>
      <c r="D700" s="1565"/>
      <c r="E700" s="363" t="s">
        <v>407</v>
      </c>
      <c r="F700" s="359">
        <f t="shared" si="58"/>
        <v>0</v>
      </c>
      <c r="G700" s="412"/>
      <c r="H700" s="412"/>
      <c r="I700" s="412"/>
      <c r="J700" s="413"/>
      <c r="K700" s="353"/>
    </row>
    <row r="701" spans="1:226" s="354" customFormat="1" ht="15" customHeight="1">
      <c r="A701" s="1556"/>
      <c r="B701" s="1559"/>
      <c r="C701" s="1562"/>
      <c r="D701" s="1565"/>
      <c r="E701" s="363" t="s">
        <v>408</v>
      </c>
      <c r="F701" s="359">
        <f t="shared" si="58"/>
        <v>127500</v>
      </c>
      <c r="G701" s="412"/>
      <c r="H701" s="412">
        <v>127500</v>
      </c>
      <c r="I701" s="412"/>
      <c r="J701" s="413"/>
      <c r="K701" s="353"/>
    </row>
    <row r="702" spans="1:226" s="354" customFormat="1" ht="15" customHeight="1">
      <c r="A702" s="1556"/>
      <c r="B702" s="1559"/>
      <c r="C702" s="1562"/>
      <c r="D702" s="1565"/>
      <c r="E702" s="411">
        <v>6069</v>
      </c>
      <c r="F702" s="412">
        <f t="shared" si="58"/>
        <v>22500</v>
      </c>
      <c r="G702" s="412">
        <v>22500</v>
      </c>
      <c r="H702" s="412"/>
      <c r="I702" s="412"/>
      <c r="J702" s="413"/>
      <c r="K702" s="353"/>
    </row>
    <row r="703" spans="1:226" s="354" customFormat="1" ht="24.95" customHeight="1">
      <c r="A703" s="1547" t="s">
        <v>409</v>
      </c>
      <c r="B703" s="1548" t="s">
        <v>483</v>
      </c>
      <c r="C703" s="1570">
        <v>600</v>
      </c>
      <c r="D703" s="1572" t="s">
        <v>470</v>
      </c>
      <c r="E703" s="350" t="s">
        <v>315</v>
      </c>
      <c r="F703" s="351">
        <f>SUM(F704,F711)</f>
        <v>7500000</v>
      </c>
      <c r="G703" s="351">
        <f>SUM(G704,G711)</f>
        <v>1125000</v>
      </c>
      <c r="H703" s="351">
        <f>SUM(H704,H711)</f>
        <v>6375000</v>
      </c>
      <c r="I703" s="351">
        <f>SUM(I704,I711)</f>
        <v>0</v>
      </c>
      <c r="J703" s="352">
        <f>SUM(J704,J711)</f>
        <v>0</v>
      </c>
      <c r="K703" s="353"/>
    </row>
    <row r="704" spans="1:226" s="354" customFormat="1" ht="24.95" customHeight="1">
      <c r="A704" s="1547"/>
      <c r="B704" s="1548"/>
      <c r="C704" s="1570"/>
      <c r="D704" s="1572"/>
      <c r="E704" s="355" t="s">
        <v>316</v>
      </c>
      <c r="F704" s="356">
        <f>SUM(F705,F708)</f>
        <v>0</v>
      </c>
      <c r="G704" s="356">
        <f>SUM(G705,G708)</f>
        <v>0</v>
      </c>
      <c r="H704" s="356">
        <f>SUM(H705,H708)</f>
        <v>0</v>
      </c>
      <c r="I704" s="356">
        <f>SUM(I705,I708)</f>
        <v>0</v>
      </c>
      <c r="J704" s="357">
        <f>SUM(J705,J708)</f>
        <v>0</v>
      </c>
      <c r="K704" s="353"/>
    </row>
    <row r="705" spans="1:226" s="354" customFormat="1" ht="24.95" hidden="1" customHeight="1">
      <c r="A705" s="1547"/>
      <c r="B705" s="1548"/>
      <c r="C705" s="1570"/>
      <c r="D705" s="1572"/>
      <c r="E705" s="393" t="s">
        <v>333</v>
      </c>
      <c r="F705" s="394">
        <f>SUM(F706:F707)</f>
        <v>0</v>
      </c>
      <c r="G705" s="394">
        <f>SUM(G706:G707)</f>
        <v>0</v>
      </c>
      <c r="H705" s="394">
        <f>SUM(H706:H707)</f>
        <v>0</v>
      </c>
      <c r="I705" s="394">
        <f>SUM(I706:I707)</f>
        <v>0</v>
      </c>
      <c r="J705" s="395">
        <f>SUM(J706:J707)</f>
        <v>0</v>
      </c>
      <c r="K705" s="353"/>
    </row>
    <row r="706" spans="1:226" s="354" customFormat="1" ht="15" hidden="1" customHeight="1">
      <c r="A706" s="1547"/>
      <c r="B706" s="1548"/>
      <c r="C706" s="1570"/>
      <c r="D706" s="1572"/>
      <c r="E706" s="358"/>
      <c r="F706" s="359">
        <f>SUM(G706:J706)</f>
        <v>0</v>
      </c>
      <c r="G706" s="359"/>
      <c r="H706" s="359"/>
      <c r="I706" s="359"/>
      <c r="J706" s="360"/>
      <c r="K706" s="353"/>
    </row>
    <row r="707" spans="1:226" s="354" customFormat="1" ht="15" hidden="1" customHeight="1">
      <c r="A707" s="1547"/>
      <c r="B707" s="1548"/>
      <c r="C707" s="1570"/>
      <c r="D707" s="1572"/>
      <c r="E707" s="358"/>
      <c r="F707" s="359">
        <f>SUM(G707:J707)</f>
        <v>0</v>
      </c>
      <c r="G707" s="359"/>
      <c r="H707" s="359"/>
      <c r="I707" s="359"/>
      <c r="J707" s="360"/>
      <c r="K707" s="353"/>
      <c r="L707" s="353"/>
      <c r="M707" s="353"/>
      <c r="N707" s="353"/>
      <c r="O707" s="353"/>
      <c r="P707" s="353"/>
      <c r="Q707" s="353"/>
      <c r="R707" s="353"/>
      <c r="S707" s="353"/>
      <c r="T707" s="353"/>
      <c r="U707" s="353"/>
      <c r="V707" s="353"/>
      <c r="W707" s="353"/>
      <c r="X707" s="353"/>
      <c r="Y707" s="353"/>
      <c r="Z707" s="353"/>
      <c r="AA707" s="353"/>
      <c r="AB707" s="353"/>
      <c r="AC707" s="353"/>
      <c r="AD707" s="353"/>
      <c r="AE707" s="353"/>
      <c r="AF707" s="353"/>
      <c r="AG707" s="353"/>
      <c r="AH707" s="353"/>
      <c r="AI707" s="353"/>
      <c r="AJ707" s="353"/>
      <c r="AK707" s="353"/>
      <c r="AL707" s="353"/>
      <c r="AM707" s="353"/>
      <c r="AN707" s="353"/>
      <c r="AO707" s="353"/>
      <c r="AP707" s="353"/>
      <c r="AQ707" s="353"/>
      <c r="AR707" s="353"/>
      <c r="AS707" s="353"/>
      <c r="AT707" s="353"/>
      <c r="AU707" s="353"/>
      <c r="AV707" s="353"/>
      <c r="AW707" s="353"/>
      <c r="AX707" s="353"/>
      <c r="AY707" s="353"/>
      <c r="AZ707" s="353"/>
      <c r="BA707" s="353"/>
      <c r="BB707" s="353"/>
      <c r="BC707" s="353"/>
      <c r="BD707" s="353"/>
      <c r="BE707" s="353"/>
      <c r="BF707" s="353"/>
      <c r="BG707" s="353"/>
      <c r="BH707" s="353"/>
      <c r="BI707" s="353"/>
      <c r="BJ707" s="353"/>
      <c r="BK707" s="353"/>
      <c r="BL707" s="353"/>
      <c r="BM707" s="353"/>
      <c r="BN707" s="353"/>
      <c r="BO707" s="353"/>
      <c r="BP707" s="353"/>
      <c r="BQ707" s="353"/>
      <c r="BR707" s="353"/>
      <c r="BS707" s="353"/>
      <c r="BT707" s="353"/>
      <c r="BU707" s="353"/>
      <c r="BV707" s="353"/>
      <c r="BW707" s="353"/>
      <c r="BX707" s="353"/>
      <c r="BY707" s="353"/>
      <c r="BZ707" s="353"/>
      <c r="CA707" s="353"/>
      <c r="CB707" s="353"/>
      <c r="CC707" s="353"/>
      <c r="CD707" s="353"/>
      <c r="CE707" s="353"/>
      <c r="CF707" s="353"/>
      <c r="CG707" s="353"/>
      <c r="CH707" s="353"/>
      <c r="CI707" s="353"/>
      <c r="CJ707" s="353"/>
      <c r="CK707" s="353"/>
      <c r="CL707" s="353"/>
      <c r="CM707" s="353"/>
      <c r="CN707" s="353"/>
      <c r="CO707" s="353"/>
      <c r="CP707" s="353"/>
      <c r="CQ707" s="353"/>
      <c r="CR707" s="353"/>
      <c r="CS707" s="353"/>
      <c r="CT707" s="353"/>
      <c r="CU707" s="353"/>
      <c r="CV707" s="353"/>
      <c r="CW707" s="353"/>
      <c r="CX707" s="353"/>
      <c r="CY707" s="353"/>
      <c r="CZ707" s="353"/>
      <c r="DA707" s="353"/>
      <c r="DB707" s="353"/>
      <c r="DC707" s="353"/>
      <c r="DD707" s="353"/>
      <c r="DE707" s="353"/>
      <c r="DF707" s="353"/>
      <c r="DG707" s="353"/>
      <c r="DH707" s="353"/>
      <c r="DI707" s="353"/>
      <c r="DJ707" s="353"/>
      <c r="DK707" s="353"/>
      <c r="DL707" s="353"/>
      <c r="DM707" s="353"/>
      <c r="DN707" s="353"/>
      <c r="DO707" s="353"/>
      <c r="DP707" s="353"/>
      <c r="DQ707" s="353"/>
      <c r="DR707" s="353"/>
      <c r="DS707" s="353"/>
      <c r="DT707" s="353"/>
      <c r="DU707" s="353"/>
      <c r="DV707" s="353"/>
      <c r="DW707" s="353"/>
      <c r="DX707" s="353"/>
      <c r="DY707" s="353"/>
      <c r="DZ707" s="353"/>
      <c r="EA707" s="353"/>
      <c r="EB707" s="353"/>
      <c r="EC707" s="353"/>
      <c r="ED707" s="353"/>
      <c r="EE707" s="353"/>
      <c r="EF707" s="353"/>
      <c r="EG707" s="353"/>
      <c r="EH707" s="353"/>
      <c r="EI707" s="353"/>
      <c r="EJ707" s="353"/>
      <c r="EK707" s="353"/>
      <c r="EL707" s="353"/>
      <c r="EM707" s="353"/>
      <c r="EN707" s="353"/>
      <c r="EO707" s="353"/>
      <c r="EP707" s="353"/>
      <c r="EQ707" s="353"/>
      <c r="ER707" s="353"/>
      <c r="ES707" s="353"/>
      <c r="ET707" s="353"/>
      <c r="EU707" s="353"/>
      <c r="EV707" s="353"/>
      <c r="EW707" s="353"/>
      <c r="EX707" s="353"/>
      <c r="EY707" s="353"/>
      <c r="EZ707" s="353"/>
      <c r="FA707" s="353"/>
      <c r="FB707" s="353"/>
      <c r="FC707" s="353"/>
      <c r="FD707" s="353"/>
      <c r="FE707" s="353"/>
      <c r="FF707" s="353"/>
      <c r="FG707" s="353"/>
      <c r="FH707" s="353"/>
      <c r="FI707" s="353"/>
      <c r="FJ707" s="353"/>
      <c r="FK707" s="353"/>
      <c r="FL707" s="353"/>
      <c r="FM707" s="353"/>
      <c r="FN707" s="353"/>
      <c r="FO707" s="353"/>
      <c r="FP707" s="353"/>
      <c r="FQ707" s="353"/>
      <c r="FR707" s="353"/>
      <c r="FS707" s="353"/>
      <c r="FT707" s="353"/>
      <c r="FU707" s="353"/>
      <c r="FV707" s="353"/>
      <c r="FW707" s="353"/>
      <c r="FX707" s="353"/>
      <c r="FY707" s="353"/>
      <c r="FZ707" s="353"/>
      <c r="GA707" s="353"/>
      <c r="GB707" s="353"/>
      <c r="GC707" s="353"/>
      <c r="GD707" s="353"/>
      <c r="GE707" s="353"/>
      <c r="GF707" s="353"/>
      <c r="GG707" s="353"/>
      <c r="GH707" s="353"/>
      <c r="GI707" s="353"/>
      <c r="GJ707" s="353"/>
      <c r="GK707" s="353"/>
      <c r="GL707" s="353"/>
      <c r="GM707" s="353"/>
      <c r="GN707" s="353"/>
      <c r="GO707" s="353"/>
      <c r="GP707" s="353"/>
      <c r="GQ707" s="353"/>
      <c r="GR707" s="353"/>
      <c r="GS707" s="353"/>
      <c r="GT707" s="353"/>
      <c r="GU707" s="353"/>
      <c r="GV707" s="353"/>
      <c r="GW707" s="353"/>
      <c r="GX707" s="353"/>
      <c r="GY707" s="353"/>
      <c r="GZ707" s="353"/>
      <c r="HA707" s="353"/>
      <c r="HB707" s="353"/>
      <c r="HC707" s="353"/>
      <c r="HD707" s="353"/>
      <c r="HE707" s="353"/>
      <c r="HF707" s="353"/>
      <c r="HG707" s="353"/>
      <c r="HH707" s="353"/>
      <c r="HI707" s="353"/>
      <c r="HJ707" s="353"/>
      <c r="HK707" s="353"/>
      <c r="HL707" s="353"/>
      <c r="HM707" s="353"/>
      <c r="HN707" s="353"/>
      <c r="HO707" s="353"/>
      <c r="HP707" s="353"/>
      <c r="HQ707" s="353"/>
      <c r="HR707" s="353"/>
    </row>
    <row r="708" spans="1:226" s="354" customFormat="1" ht="24.95" hidden="1" customHeight="1">
      <c r="A708" s="1547"/>
      <c r="B708" s="1548"/>
      <c r="C708" s="1570"/>
      <c r="D708" s="1572"/>
      <c r="E708" s="393" t="s">
        <v>338</v>
      </c>
      <c r="F708" s="394">
        <f>SUM(F709:F710)</f>
        <v>0</v>
      </c>
      <c r="G708" s="394">
        <f>SUM(G709:G710)</f>
        <v>0</v>
      </c>
      <c r="H708" s="394">
        <f>SUM(H709:H710)</f>
        <v>0</v>
      </c>
      <c r="I708" s="394">
        <f>SUM(I709:I710)</f>
        <v>0</v>
      </c>
      <c r="J708" s="395">
        <f>SUM(J709:J710)</f>
        <v>0</v>
      </c>
      <c r="K708" s="353"/>
    </row>
    <row r="709" spans="1:226" s="354" customFormat="1" ht="15" hidden="1" customHeight="1">
      <c r="A709" s="1547"/>
      <c r="B709" s="1548"/>
      <c r="C709" s="1570"/>
      <c r="D709" s="1572"/>
      <c r="E709" s="358"/>
      <c r="F709" s="359">
        <f>SUM(G709:J709)</f>
        <v>0</v>
      </c>
      <c r="G709" s="359"/>
      <c r="H709" s="359"/>
      <c r="I709" s="359"/>
      <c r="J709" s="360"/>
      <c r="K709" s="353"/>
    </row>
    <row r="710" spans="1:226" s="354" customFormat="1" ht="15" hidden="1" customHeight="1">
      <c r="A710" s="1547"/>
      <c r="B710" s="1548"/>
      <c r="C710" s="1570"/>
      <c r="D710" s="1572"/>
      <c r="E710" s="358"/>
      <c r="F710" s="359">
        <f>SUM(G710:J710)</f>
        <v>0</v>
      </c>
      <c r="G710" s="359"/>
      <c r="H710" s="359"/>
      <c r="I710" s="359"/>
      <c r="J710" s="360"/>
      <c r="K710" s="353"/>
    </row>
    <row r="711" spans="1:226" s="354" customFormat="1" ht="24.95" customHeight="1">
      <c r="A711" s="1547"/>
      <c r="B711" s="1548"/>
      <c r="C711" s="1570"/>
      <c r="D711" s="1572"/>
      <c r="E711" s="361" t="s">
        <v>318</v>
      </c>
      <c r="F711" s="356">
        <f>SUM(F712:F717)</f>
        <v>7500000</v>
      </c>
      <c r="G711" s="356">
        <f>SUM(G712:G717)</f>
        <v>1125000</v>
      </c>
      <c r="H711" s="356">
        <f>SUM(H712:H717)</f>
        <v>6375000</v>
      </c>
      <c r="I711" s="356">
        <f>SUM(I712:I717)</f>
        <v>0</v>
      </c>
      <c r="J711" s="357">
        <f>SUM(J712:J717)</f>
        <v>0</v>
      </c>
      <c r="K711" s="353"/>
    </row>
    <row r="712" spans="1:226" s="354" customFormat="1" ht="15" hidden="1" customHeight="1">
      <c r="A712" s="1547"/>
      <c r="B712" s="1548"/>
      <c r="C712" s="1570"/>
      <c r="D712" s="1572"/>
      <c r="E712" s="358" t="s">
        <v>471</v>
      </c>
      <c r="F712" s="359">
        <f t="shared" ref="F712:F717" si="59">SUM(G712:J712)</f>
        <v>0</v>
      </c>
      <c r="G712" s="359"/>
      <c r="H712" s="359"/>
      <c r="I712" s="359"/>
      <c r="J712" s="360"/>
      <c r="K712" s="353"/>
    </row>
    <row r="713" spans="1:226" s="354" customFormat="1" ht="15" customHeight="1">
      <c r="A713" s="1556"/>
      <c r="B713" s="1559"/>
      <c r="C713" s="1562"/>
      <c r="D713" s="1565"/>
      <c r="E713" s="363" t="s">
        <v>414</v>
      </c>
      <c r="F713" s="359">
        <f t="shared" si="59"/>
        <v>6290000</v>
      </c>
      <c r="G713" s="412"/>
      <c r="H713" s="412">
        <v>6290000</v>
      </c>
      <c r="I713" s="412"/>
      <c r="J713" s="413"/>
      <c r="K713" s="353"/>
    </row>
    <row r="714" spans="1:226" s="354" customFormat="1" ht="15" customHeight="1">
      <c r="A714" s="1556"/>
      <c r="B714" s="1559"/>
      <c r="C714" s="1562"/>
      <c r="D714" s="1565"/>
      <c r="E714" s="363" t="s">
        <v>472</v>
      </c>
      <c r="F714" s="359">
        <f t="shared" si="59"/>
        <v>1110000</v>
      </c>
      <c r="G714" s="412">
        <v>1110000</v>
      </c>
      <c r="H714" s="412"/>
      <c r="I714" s="412"/>
      <c r="J714" s="413"/>
      <c r="K714" s="353"/>
    </row>
    <row r="715" spans="1:226" s="354" customFormat="1" ht="15" hidden="1" customHeight="1">
      <c r="A715" s="1556"/>
      <c r="B715" s="1559"/>
      <c r="C715" s="1562"/>
      <c r="D715" s="1565"/>
      <c r="E715" s="363" t="s">
        <v>407</v>
      </c>
      <c r="F715" s="359">
        <f t="shared" si="59"/>
        <v>0</v>
      </c>
      <c r="G715" s="412"/>
      <c r="H715" s="412"/>
      <c r="I715" s="412"/>
      <c r="J715" s="413"/>
      <c r="K715" s="353"/>
    </row>
    <row r="716" spans="1:226" s="354" customFormat="1" ht="15" customHeight="1">
      <c r="A716" s="1556"/>
      <c r="B716" s="1559"/>
      <c r="C716" s="1562"/>
      <c r="D716" s="1565"/>
      <c r="E716" s="363" t="s">
        <v>408</v>
      </c>
      <c r="F716" s="359">
        <f t="shared" si="59"/>
        <v>85000</v>
      </c>
      <c r="G716" s="412"/>
      <c r="H716" s="412">
        <v>85000</v>
      </c>
      <c r="I716" s="412"/>
      <c r="J716" s="413"/>
      <c r="K716" s="353"/>
    </row>
    <row r="717" spans="1:226" s="354" customFormat="1" ht="15" customHeight="1">
      <c r="A717" s="1556"/>
      <c r="B717" s="1559"/>
      <c r="C717" s="1562"/>
      <c r="D717" s="1565"/>
      <c r="E717" s="411">
        <v>6069</v>
      </c>
      <c r="F717" s="412">
        <f t="shared" si="59"/>
        <v>15000</v>
      </c>
      <c r="G717" s="412">
        <v>15000</v>
      </c>
      <c r="H717" s="412"/>
      <c r="I717" s="412"/>
      <c r="J717" s="413"/>
      <c r="K717" s="353"/>
    </row>
    <row r="718" spans="1:226" s="354" customFormat="1" ht="24.95" customHeight="1">
      <c r="A718" s="1547" t="s">
        <v>415</v>
      </c>
      <c r="B718" s="1548" t="s">
        <v>484</v>
      </c>
      <c r="C718" s="1570">
        <v>600</v>
      </c>
      <c r="D718" s="1572" t="s">
        <v>470</v>
      </c>
      <c r="E718" s="350" t="s">
        <v>315</v>
      </c>
      <c r="F718" s="351">
        <f>SUM(F719,F726)</f>
        <v>16000000</v>
      </c>
      <c r="G718" s="351">
        <f>SUM(G719,G726)</f>
        <v>2400000</v>
      </c>
      <c r="H718" s="351">
        <f>SUM(H719,H726)</f>
        <v>13600000</v>
      </c>
      <c r="I718" s="351">
        <f>SUM(I719,I726)</f>
        <v>0</v>
      </c>
      <c r="J718" s="352">
        <f>SUM(J719,J726)</f>
        <v>0</v>
      </c>
      <c r="K718" s="353"/>
    </row>
    <row r="719" spans="1:226" s="354" customFormat="1" ht="24.95" customHeight="1">
      <c r="A719" s="1547"/>
      <c r="B719" s="1548"/>
      <c r="C719" s="1570"/>
      <c r="D719" s="1572"/>
      <c r="E719" s="355" t="s">
        <v>316</v>
      </c>
      <c r="F719" s="356">
        <f>SUM(F720,F723)</f>
        <v>0</v>
      </c>
      <c r="G719" s="356">
        <f>SUM(G720,G723)</f>
        <v>0</v>
      </c>
      <c r="H719" s="356">
        <f>SUM(H720,H723)</f>
        <v>0</v>
      </c>
      <c r="I719" s="356">
        <f>SUM(I720,I723)</f>
        <v>0</v>
      </c>
      <c r="J719" s="357">
        <f>SUM(J720,J723)</f>
        <v>0</v>
      </c>
      <c r="K719" s="353"/>
    </row>
    <row r="720" spans="1:226" s="354" customFormat="1" ht="24.95" hidden="1" customHeight="1">
      <c r="A720" s="1547"/>
      <c r="B720" s="1548"/>
      <c r="C720" s="1570"/>
      <c r="D720" s="1572"/>
      <c r="E720" s="393" t="s">
        <v>333</v>
      </c>
      <c r="F720" s="394">
        <f>SUM(F721:F722)</f>
        <v>0</v>
      </c>
      <c r="G720" s="394">
        <f>SUM(G721:G722)</f>
        <v>0</v>
      </c>
      <c r="H720" s="394">
        <f>SUM(H721:H722)</f>
        <v>0</v>
      </c>
      <c r="I720" s="394">
        <f>SUM(I721:I722)</f>
        <v>0</v>
      </c>
      <c r="J720" s="395">
        <f>SUM(J721:J722)</f>
        <v>0</v>
      </c>
      <c r="K720" s="353"/>
    </row>
    <row r="721" spans="1:226" s="354" customFormat="1" ht="15" hidden="1" customHeight="1">
      <c r="A721" s="1547"/>
      <c r="B721" s="1548"/>
      <c r="C721" s="1570"/>
      <c r="D721" s="1572"/>
      <c r="E721" s="358"/>
      <c r="F721" s="359">
        <f>SUM(G721:J721)</f>
        <v>0</v>
      </c>
      <c r="G721" s="359"/>
      <c r="H721" s="359"/>
      <c r="I721" s="359"/>
      <c r="J721" s="360"/>
      <c r="K721" s="353"/>
    </row>
    <row r="722" spans="1:226" s="354" customFormat="1" ht="15" hidden="1" customHeight="1">
      <c r="A722" s="1547"/>
      <c r="B722" s="1548"/>
      <c r="C722" s="1570"/>
      <c r="D722" s="1572"/>
      <c r="E722" s="358"/>
      <c r="F722" s="359">
        <f>SUM(G722:J722)</f>
        <v>0</v>
      </c>
      <c r="G722" s="359"/>
      <c r="H722" s="359"/>
      <c r="I722" s="359"/>
      <c r="J722" s="360"/>
      <c r="K722" s="353"/>
      <c r="L722" s="353"/>
      <c r="M722" s="353"/>
      <c r="N722" s="353"/>
      <c r="O722" s="353"/>
      <c r="P722" s="353"/>
      <c r="Q722" s="353"/>
      <c r="R722" s="353"/>
      <c r="S722" s="353"/>
      <c r="T722" s="353"/>
      <c r="U722" s="353"/>
      <c r="V722" s="353"/>
      <c r="W722" s="353"/>
      <c r="X722" s="353"/>
      <c r="Y722" s="353"/>
      <c r="Z722" s="353"/>
      <c r="AA722" s="353"/>
      <c r="AB722" s="353"/>
      <c r="AC722" s="353"/>
      <c r="AD722" s="353"/>
      <c r="AE722" s="353"/>
      <c r="AF722" s="353"/>
      <c r="AG722" s="353"/>
      <c r="AH722" s="353"/>
      <c r="AI722" s="353"/>
      <c r="AJ722" s="353"/>
      <c r="AK722" s="353"/>
      <c r="AL722" s="353"/>
      <c r="AM722" s="353"/>
      <c r="AN722" s="353"/>
      <c r="AO722" s="353"/>
      <c r="AP722" s="353"/>
      <c r="AQ722" s="353"/>
      <c r="AR722" s="353"/>
      <c r="AS722" s="353"/>
      <c r="AT722" s="353"/>
      <c r="AU722" s="353"/>
      <c r="AV722" s="353"/>
      <c r="AW722" s="353"/>
      <c r="AX722" s="353"/>
      <c r="AY722" s="353"/>
      <c r="AZ722" s="353"/>
      <c r="BA722" s="353"/>
      <c r="BB722" s="353"/>
      <c r="BC722" s="353"/>
      <c r="BD722" s="353"/>
      <c r="BE722" s="353"/>
      <c r="BF722" s="353"/>
      <c r="BG722" s="353"/>
      <c r="BH722" s="353"/>
      <c r="BI722" s="353"/>
      <c r="BJ722" s="353"/>
      <c r="BK722" s="353"/>
      <c r="BL722" s="353"/>
      <c r="BM722" s="353"/>
      <c r="BN722" s="353"/>
      <c r="BO722" s="353"/>
      <c r="BP722" s="353"/>
      <c r="BQ722" s="353"/>
      <c r="BR722" s="353"/>
      <c r="BS722" s="353"/>
      <c r="BT722" s="353"/>
      <c r="BU722" s="353"/>
      <c r="BV722" s="353"/>
      <c r="BW722" s="353"/>
      <c r="BX722" s="353"/>
      <c r="BY722" s="353"/>
      <c r="BZ722" s="353"/>
      <c r="CA722" s="353"/>
      <c r="CB722" s="353"/>
      <c r="CC722" s="353"/>
      <c r="CD722" s="353"/>
      <c r="CE722" s="353"/>
      <c r="CF722" s="353"/>
      <c r="CG722" s="353"/>
      <c r="CH722" s="353"/>
      <c r="CI722" s="353"/>
      <c r="CJ722" s="353"/>
      <c r="CK722" s="353"/>
      <c r="CL722" s="353"/>
      <c r="CM722" s="353"/>
      <c r="CN722" s="353"/>
      <c r="CO722" s="353"/>
      <c r="CP722" s="353"/>
      <c r="CQ722" s="353"/>
      <c r="CR722" s="353"/>
      <c r="CS722" s="353"/>
      <c r="CT722" s="353"/>
      <c r="CU722" s="353"/>
      <c r="CV722" s="353"/>
      <c r="CW722" s="353"/>
      <c r="CX722" s="353"/>
      <c r="CY722" s="353"/>
      <c r="CZ722" s="353"/>
      <c r="DA722" s="353"/>
      <c r="DB722" s="353"/>
      <c r="DC722" s="353"/>
      <c r="DD722" s="353"/>
      <c r="DE722" s="353"/>
      <c r="DF722" s="353"/>
      <c r="DG722" s="353"/>
      <c r="DH722" s="353"/>
      <c r="DI722" s="353"/>
      <c r="DJ722" s="353"/>
      <c r="DK722" s="353"/>
      <c r="DL722" s="353"/>
      <c r="DM722" s="353"/>
      <c r="DN722" s="353"/>
      <c r="DO722" s="353"/>
      <c r="DP722" s="353"/>
      <c r="DQ722" s="353"/>
      <c r="DR722" s="353"/>
      <c r="DS722" s="353"/>
      <c r="DT722" s="353"/>
      <c r="DU722" s="353"/>
      <c r="DV722" s="353"/>
      <c r="DW722" s="353"/>
      <c r="DX722" s="353"/>
      <c r="DY722" s="353"/>
      <c r="DZ722" s="353"/>
      <c r="EA722" s="353"/>
      <c r="EB722" s="353"/>
      <c r="EC722" s="353"/>
      <c r="ED722" s="353"/>
      <c r="EE722" s="353"/>
      <c r="EF722" s="353"/>
      <c r="EG722" s="353"/>
      <c r="EH722" s="353"/>
      <c r="EI722" s="353"/>
      <c r="EJ722" s="353"/>
      <c r="EK722" s="353"/>
      <c r="EL722" s="353"/>
      <c r="EM722" s="353"/>
      <c r="EN722" s="353"/>
      <c r="EO722" s="353"/>
      <c r="EP722" s="353"/>
      <c r="EQ722" s="353"/>
      <c r="ER722" s="353"/>
      <c r="ES722" s="353"/>
      <c r="ET722" s="353"/>
      <c r="EU722" s="353"/>
      <c r="EV722" s="353"/>
      <c r="EW722" s="353"/>
      <c r="EX722" s="353"/>
      <c r="EY722" s="353"/>
      <c r="EZ722" s="353"/>
      <c r="FA722" s="353"/>
      <c r="FB722" s="353"/>
      <c r="FC722" s="353"/>
      <c r="FD722" s="353"/>
      <c r="FE722" s="353"/>
      <c r="FF722" s="353"/>
      <c r="FG722" s="353"/>
      <c r="FH722" s="353"/>
      <c r="FI722" s="353"/>
      <c r="FJ722" s="353"/>
      <c r="FK722" s="353"/>
      <c r="FL722" s="353"/>
      <c r="FM722" s="353"/>
      <c r="FN722" s="353"/>
      <c r="FO722" s="353"/>
      <c r="FP722" s="353"/>
      <c r="FQ722" s="353"/>
      <c r="FR722" s="353"/>
      <c r="FS722" s="353"/>
      <c r="FT722" s="353"/>
      <c r="FU722" s="353"/>
      <c r="FV722" s="353"/>
      <c r="FW722" s="353"/>
      <c r="FX722" s="353"/>
      <c r="FY722" s="353"/>
      <c r="FZ722" s="353"/>
      <c r="GA722" s="353"/>
      <c r="GB722" s="353"/>
      <c r="GC722" s="353"/>
      <c r="GD722" s="353"/>
      <c r="GE722" s="353"/>
      <c r="GF722" s="353"/>
      <c r="GG722" s="353"/>
      <c r="GH722" s="353"/>
      <c r="GI722" s="353"/>
      <c r="GJ722" s="353"/>
      <c r="GK722" s="353"/>
      <c r="GL722" s="353"/>
      <c r="GM722" s="353"/>
      <c r="GN722" s="353"/>
      <c r="GO722" s="353"/>
      <c r="GP722" s="353"/>
      <c r="GQ722" s="353"/>
      <c r="GR722" s="353"/>
      <c r="GS722" s="353"/>
      <c r="GT722" s="353"/>
      <c r="GU722" s="353"/>
      <c r="GV722" s="353"/>
      <c r="GW722" s="353"/>
      <c r="GX722" s="353"/>
      <c r="GY722" s="353"/>
      <c r="GZ722" s="353"/>
      <c r="HA722" s="353"/>
      <c r="HB722" s="353"/>
      <c r="HC722" s="353"/>
      <c r="HD722" s="353"/>
      <c r="HE722" s="353"/>
      <c r="HF722" s="353"/>
      <c r="HG722" s="353"/>
      <c r="HH722" s="353"/>
      <c r="HI722" s="353"/>
      <c r="HJ722" s="353"/>
      <c r="HK722" s="353"/>
      <c r="HL722" s="353"/>
      <c r="HM722" s="353"/>
      <c r="HN722" s="353"/>
      <c r="HO722" s="353"/>
      <c r="HP722" s="353"/>
      <c r="HQ722" s="353"/>
      <c r="HR722" s="353"/>
    </row>
    <row r="723" spans="1:226" s="354" customFormat="1" ht="24.95" hidden="1" customHeight="1">
      <c r="A723" s="1547"/>
      <c r="B723" s="1548"/>
      <c r="C723" s="1570"/>
      <c r="D723" s="1572"/>
      <c r="E723" s="393" t="s">
        <v>338</v>
      </c>
      <c r="F723" s="394">
        <f>SUM(F724:F725)</f>
        <v>0</v>
      </c>
      <c r="G723" s="394">
        <f>SUM(G724:G725)</f>
        <v>0</v>
      </c>
      <c r="H723" s="394">
        <f>SUM(H724:H725)</f>
        <v>0</v>
      </c>
      <c r="I723" s="394">
        <f>SUM(I724:I725)</f>
        <v>0</v>
      </c>
      <c r="J723" s="395">
        <f>SUM(J724:J725)</f>
        <v>0</v>
      </c>
      <c r="K723" s="353"/>
    </row>
    <row r="724" spans="1:226" s="354" customFormat="1" ht="15" hidden="1" customHeight="1">
      <c r="A724" s="1547"/>
      <c r="B724" s="1548"/>
      <c r="C724" s="1570"/>
      <c r="D724" s="1572"/>
      <c r="E724" s="358"/>
      <c r="F724" s="359">
        <f>SUM(G724:J724)</f>
        <v>0</v>
      </c>
      <c r="G724" s="359"/>
      <c r="H724" s="359"/>
      <c r="I724" s="359"/>
      <c r="J724" s="360"/>
      <c r="K724" s="353"/>
    </row>
    <row r="725" spans="1:226" s="354" customFormat="1" ht="15" hidden="1" customHeight="1">
      <c r="A725" s="1547"/>
      <c r="B725" s="1548"/>
      <c r="C725" s="1570"/>
      <c r="D725" s="1572"/>
      <c r="E725" s="358"/>
      <c r="F725" s="359">
        <f>SUM(G725:J725)</f>
        <v>0</v>
      </c>
      <c r="G725" s="359"/>
      <c r="H725" s="359"/>
      <c r="I725" s="359"/>
      <c r="J725" s="360"/>
      <c r="K725" s="353"/>
    </row>
    <row r="726" spans="1:226" s="354" customFormat="1" ht="24.95" customHeight="1">
      <c r="A726" s="1547"/>
      <c r="B726" s="1548"/>
      <c r="C726" s="1570"/>
      <c r="D726" s="1572"/>
      <c r="E726" s="361" t="s">
        <v>318</v>
      </c>
      <c r="F726" s="356">
        <f>SUM(F727:F732)</f>
        <v>16000000</v>
      </c>
      <c r="G726" s="356">
        <f>SUM(G727:G732)</f>
        <v>2400000</v>
      </c>
      <c r="H726" s="356">
        <f>SUM(H727:H732)</f>
        <v>13600000</v>
      </c>
      <c r="I726" s="356">
        <f>SUM(I727:I732)</f>
        <v>0</v>
      </c>
      <c r="J726" s="357">
        <f>SUM(J727:J732)</f>
        <v>0</v>
      </c>
      <c r="K726" s="353"/>
    </row>
    <row r="727" spans="1:226" s="354" customFormat="1" ht="15" hidden="1" customHeight="1">
      <c r="A727" s="1547"/>
      <c r="B727" s="1548"/>
      <c r="C727" s="1570"/>
      <c r="D727" s="1572"/>
      <c r="E727" s="358" t="s">
        <v>471</v>
      </c>
      <c r="F727" s="359">
        <f t="shared" ref="F727:F732" si="60">SUM(G727:J727)</f>
        <v>0</v>
      </c>
      <c r="G727" s="359"/>
      <c r="H727" s="359"/>
      <c r="I727" s="359"/>
      <c r="J727" s="360"/>
      <c r="K727" s="353"/>
    </row>
    <row r="728" spans="1:226" s="354" customFormat="1" ht="15" customHeight="1">
      <c r="A728" s="1556"/>
      <c r="B728" s="1559"/>
      <c r="C728" s="1562"/>
      <c r="D728" s="1565"/>
      <c r="E728" s="363" t="s">
        <v>414</v>
      </c>
      <c r="F728" s="359">
        <f t="shared" si="60"/>
        <v>12325000</v>
      </c>
      <c r="G728" s="412"/>
      <c r="H728" s="412">
        <v>12325000</v>
      </c>
      <c r="I728" s="412"/>
      <c r="J728" s="413"/>
      <c r="K728" s="353"/>
    </row>
    <row r="729" spans="1:226" s="354" customFormat="1" ht="15" customHeight="1">
      <c r="A729" s="1556"/>
      <c r="B729" s="1559"/>
      <c r="C729" s="1562"/>
      <c r="D729" s="1565"/>
      <c r="E729" s="363" t="s">
        <v>472</v>
      </c>
      <c r="F729" s="359">
        <f t="shared" si="60"/>
        <v>2175000</v>
      </c>
      <c r="G729" s="412">
        <v>2175000</v>
      </c>
      <c r="H729" s="412"/>
      <c r="I729" s="412"/>
      <c r="J729" s="413"/>
      <c r="K729" s="353"/>
    </row>
    <row r="730" spans="1:226" s="354" customFormat="1" ht="15" hidden="1" customHeight="1">
      <c r="A730" s="1556"/>
      <c r="B730" s="1559"/>
      <c r="C730" s="1562"/>
      <c r="D730" s="1565"/>
      <c r="E730" s="363" t="s">
        <v>407</v>
      </c>
      <c r="F730" s="359">
        <f t="shared" si="60"/>
        <v>0</v>
      </c>
      <c r="G730" s="412"/>
      <c r="H730" s="412"/>
      <c r="I730" s="412"/>
      <c r="J730" s="413"/>
      <c r="K730" s="353"/>
    </row>
    <row r="731" spans="1:226" s="354" customFormat="1" ht="15" customHeight="1">
      <c r="A731" s="1556"/>
      <c r="B731" s="1559"/>
      <c r="C731" s="1562"/>
      <c r="D731" s="1565"/>
      <c r="E731" s="363" t="s">
        <v>408</v>
      </c>
      <c r="F731" s="359">
        <f t="shared" si="60"/>
        <v>1275000</v>
      </c>
      <c r="G731" s="412"/>
      <c r="H731" s="412">
        <v>1275000</v>
      </c>
      <c r="I731" s="412"/>
      <c r="J731" s="413"/>
      <c r="K731" s="353"/>
    </row>
    <row r="732" spans="1:226" s="354" customFormat="1" ht="15" customHeight="1">
      <c r="A732" s="1547"/>
      <c r="B732" s="1548"/>
      <c r="C732" s="1570"/>
      <c r="D732" s="1572"/>
      <c r="E732" s="396">
        <v>6069</v>
      </c>
      <c r="F732" s="359">
        <f t="shared" si="60"/>
        <v>225000</v>
      </c>
      <c r="G732" s="359">
        <v>225000</v>
      </c>
      <c r="H732" s="359"/>
      <c r="I732" s="359"/>
      <c r="J732" s="360"/>
      <c r="K732" s="353"/>
    </row>
    <row r="733" spans="1:226" s="354" customFormat="1" ht="24.95" customHeight="1">
      <c r="A733" s="1547" t="s">
        <v>419</v>
      </c>
      <c r="B733" s="1548" t="s">
        <v>485</v>
      </c>
      <c r="C733" s="1570">
        <v>600</v>
      </c>
      <c r="D733" s="1572" t="s">
        <v>470</v>
      </c>
      <c r="E733" s="350" t="s">
        <v>315</v>
      </c>
      <c r="F733" s="351">
        <f>SUM(F734,F741)</f>
        <v>15000000</v>
      </c>
      <c r="G733" s="351">
        <f>SUM(G734,G741)</f>
        <v>2250000</v>
      </c>
      <c r="H733" s="351">
        <f>SUM(H734,H741)</f>
        <v>12750000</v>
      </c>
      <c r="I733" s="351">
        <f>SUM(I734,I741)</f>
        <v>0</v>
      </c>
      <c r="J733" s="352">
        <f>SUM(J734,J741)</f>
        <v>0</v>
      </c>
      <c r="K733" s="353"/>
    </row>
    <row r="734" spans="1:226" s="354" customFormat="1" ht="24.95" customHeight="1">
      <c r="A734" s="1547"/>
      <c r="B734" s="1548"/>
      <c r="C734" s="1570"/>
      <c r="D734" s="1572"/>
      <c r="E734" s="355" t="s">
        <v>316</v>
      </c>
      <c r="F734" s="356">
        <f>SUM(F735,F738)</f>
        <v>0</v>
      </c>
      <c r="G734" s="356">
        <f>SUM(G735,G738)</f>
        <v>0</v>
      </c>
      <c r="H734" s="356">
        <f>SUM(H735,H738)</f>
        <v>0</v>
      </c>
      <c r="I734" s="356">
        <f>SUM(I735,I738)</f>
        <v>0</v>
      </c>
      <c r="J734" s="357">
        <f>SUM(J735,J738)</f>
        <v>0</v>
      </c>
      <c r="K734" s="353"/>
    </row>
    <row r="735" spans="1:226" s="354" customFormat="1" ht="24.95" hidden="1" customHeight="1">
      <c r="A735" s="1547"/>
      <c r="B735" s="1548"/>
      <c r="C735" s="1570"/>
      <c r="D735" s="1572"/>
      <c r="E735" s="393" t="s">
        <v>333</v>
      </c>
      <c r="F735" s="394">
        <f>SUM(F736:F737)</f>
        <v>0</v>
      </c>
      <c r="G735" s="394">
        <f>SUM(G736:G737)</f>
        <v>0</v>
      </c>
      <c r="H735" s="394">
        <f>SUM(H736:H737)</f>
        <v>0</v>
      </c>
      <c r="I735" s="394">
        <f>SUM(I736:I737)</f>
        <v>0</v>
      </c>
      <c r="J735" s="395">
        <f>SUM(J736:J737)</f>
        <v>0</v>
      </c>
      <c r="K735" s="353"/>
    </row>
    <row r="736" spans="1:226" s="354" customFormat="1" ht="15" hidden="1" customHeight="1">
      <c r="A736" s="1547"/>
      <c r="B736" s="1548"/>
      <c r="C736" s="1570"/>
      <c r="D736" s="1572"/>
      <c r="E736" s="358"/>
      <c r="F736" s="359">
        <f>SUM(G736:J736)</f>
        <v>0</v>
      </c>
      <c r="G736" s="359"/>
      <c r="H736" s="359"/>
      <c r="I736" s="359"/>
      <c r="J736" s="360"/>
      <c r="K736" s="353"/>
    </row>
    <row r="737" spans="1:226" s="354" customFormat="1" ht="15" hidden="1" customHeight="1">
      <c r="A737" s="1547"/>
      <c r="B737" s="1548"/>
      <c r="C737" s="1570"/>
      <c r="D737" s="1572"/>
      <c r="E737" s="358"/>
      <c r="F737" s="359">
        <f>SUM(G737:J737)</f>
        <v>0</v>
      </c>
      <c r="G737" s="359"/>
      <c r="H737" s="359"/>
      <c r="I737" s="359"/>
      <c r="J737" s="360"/>
      <c r="K737" s="353"/>
      <c r="L737" s="353"/>
      <c r="M737" s="353"/>
      <c r="N737" s="353"/>
      <c r="O737" s="353"/>
      <c r="P737" s="353"/>
      <c r="Q737" s="353"/>
      <c r="R737" s="353"/>
      <c r="S737" s="353"/>
      <c r="T737" s="353"/>
      <c r="U737" s="353"/>
      <c r="V737" s="353"/>
      <c r="W737" s="353"/>
      <c r="X737" s="353"/>
      <c r="Y737" s="353"/>
      <c r="Z737" s="353"/>
      <c r="AA737" s="353"/>
      <c r="AB737" s="353"/>
      <c r="AC737" s="353"/>
      <c r="AD737" s="353"/>
      <c r="AE737" s="353"/>
      <c r="AF737" s="353"/>
      <c r="AG737" s="353"/>
      <c r="AH737" s="353"/>
      <c r="AI737" s="353"/>
      <c r="AJ737" s="353"/>
      <c r="AK737" s="353"/>
      <c r="AL737" s="353"/>
      <c r="AM737" s="353"/>
      <c r="AN737" s="353"/>
      <c r="AO737" s="353"/>
      <c r="AP737" s="353"/>
      <c r="AQ737" s="353"/>
      <c r="AR737" s="353"/>
      <c r="AS737" s="353"/>
      <c r="AT737" s="353"/>
      <c r="AU737" s="353"/>
      <c r="AV737" s="353"/>
      <c r="AW737" s="353"/>
      <c r="AX737" s="353"/>
      <c r="AY737" s="353"/>
      <c r="AZ737" s="353"/>
      <c r="BA737" s="353"/>
      <c r="BB737" s="353"/>
      <c r="BC737" s="353"/>
      <c r="BD737" s="353"/>
      <c r="BE737" s="353"/>
      <c r="BF737" s="353"/>
      <c r="BG737" s="353"/>
      <c r="BH737" s="353"/>
      <c r="BI737" s="353"/>
      <c r="BJ737" s="353"/>
      <c r="BK737" s="353"/>
      <c r="BL737" s="353"/>
      <c r="BM737" s="353"/>
      <c r="BN737" s="353"/>
      <c r="BO737" s="353"/>
      <c r="BP737" s="353"/>
      <c r="BQ737" s="353"/>
      <c r="BR737" s="353"/>
      <c r="BS737" s="353"/>
      <c r="BT737" s="353"/>
      <c r="BU737" s="353"/>
      <c r="BV737" s="353"/>
      <c r="BW737" s="353"/>
      <c r="BX737" s="353"/>
      <c r="BY737" s="353"/>
      <c r="BZ737" s="353"/>
      <c r="CA737" s="353"/>
      <c r="CB737" s="353"/>
      <c r="CC737" s="353"/>
      <c r="CD737" s="353"/>
      <c r="CE737" s="353"/>
      <c r="CF737" s="353"/>
      <c r="CG737" s="353"/>
      <c r="CH737" s="353"/>
      <c r="CI737" s="353"/>
      <c r="CJ737" s="353"/>
      <c r="CK737" s="353"/>
      <c r="CL737" s="353"/>
      <c r="CM737" s="353"/>
      <c r="CN737" s="353"/>
      <c r="CO737" s="353"/>
      <c r="CP737" s="353"/>
      <c r="CQ737" s="353"/>
      <c r="CR737" s="353"/>
      <c r="CS737" s="353"/>
      <c r="CT737" s="353"/>
      <c r="CU737" s="353"/>
      <c r="CV737" s="353"/>
      <c r="CW737" s="353"/>
      <c r="CX737" s="353"/>
      <c r="CY737" s="353"/>
      <c r="CZ737" s="353"/>
      <c r="DA737" s="353"/>
      <c r="DB737" s="353"/>
      <c r="DC737" s="353"/>
      <c r="DD737" s="353"/>
      <c r="DE737" s="353"/>
      <c r="DF737" s="353"/>
      <c r="DG737" s="353"/>
      <c r="DH737" s="353"/>
      <c r="DI737" s="353"/>
      <c r="DJ737" s="353"/>
      <c r="DK737" s="353"/>
      <c r="DL737" s="353"/>
      <c r="DM737" s="353"/>
      <c r="DN737" s="353"/>
      <c r="DO737" s="353"/>
      <c r="DP737" s="353"/>
      <c r="DQ737" s="353"/>
      <c r="DR737" s="353"/>
      <c r="DS737" s="353"/>
      <c r="DT737" s="353"/>
      <c r="DU737" s="353"/>
      <c r="DV737" s="353"/>
      <c r="DW737" s="353"/>
      <c r="DX737" s="353"/>
      <c r="DY737" s="353"/>
      <c r="DZ737" s="353"/>
      <c r="EA737" s="353"/>
      <c r="EB737" s="353"/>
      <c r="EC737" s="353"/>
      <c r="ED737" s="353"/>
      <c r="EE737" s="353"/>
      <c r="EF737" s="353"/>
      <c r="EG737" s="353"/>
      <c r="EH737" s="353"/>
      <c r="EI737" s="353"/>
      <c r="EJ737" s="353"/>
      <c r="EK737" s="353"/>
      <c r="EL737" s="353"/>
      <c r="EM737" s="353"/>
      <c r="EN737" s="353"/>
      <c r="EO737" s="353"/>
      <c r="EP737" s="353"/>
      <c r="EQ737" s="353"/>
      <c r="ER737" s="353"/>
      <c r="ES737" s="353"/>
      <c r="ET737" s="353"/>
      <c r="EU737" s="353"/>
      <c r="EV737" s="353"/>
      <c r="EW737" s="353"/>
      <c r="EX737" s="353"/>
      <c r="EY737" s="353"/>
      <c r="EZ737" s="353"/>
      <c r="FA737" s="353"/>
      <c r="FB737" s="353"/>
      <c r="FC737" s="353"/>
      <c r="FD737" s="353"/>
      <c r="FE737" s="353"/>
      <c r="FF737" s="353"/>
      <c r="FG737" s="353"/>
      <c r="FH737" s="353"/>
      <c r="FI737" s="353"/>
      <c r="FJ737" s="353"/>
      <c r="FK737" s="353"/>
      <c r="FL737" s="353"/>
      <c r="FM737" s="353"/>
      <c r="FN737" s="353"/>
      <c r="FO737" s="353"/>
      <c r="FP737" s="353"/>
      <c r="FQ737" s="353"/>
      <c r="FR737" s="353"/>
      <c r="FS737" s="353"/>
      <c r="FT737" s="353"/>
      <c r="FU737" s="353"/>
      <c r="FV737" s="353"/>
      <c r="FW737" s="353"/>
      <c r="FX737" s="353"/>
      <c r="FY737" s="353"/>
      <c r="FZ737" s="353"/>
      <c r="GA737" s="353"/>
      <c r="GB737" s="353"/>
      <c r="GC737" s="353"/>
      <c r="GD737" s="353"/>
      <c r="GE737" s="353"/>
      <c r="GF737" s="353"/>
      <c r="GG737" s="353"/>
      <c r="GH737" s="353"/>
      <c r="GI737" s="353"/>
      <c r="GJ737" s="353"/>
      <c r="GK737" s="353"/>
      <c r="GL737" s="353"/>
      <c r="GM737" s="353"/>
      <c r="GN737" s="353"/>
      <c r="GO737" s="353"/>
      <c r="GP737" s="353"/>
      <c r="GQ737" s="353"/>
      <c r="GR737" s="353"/>
      <c r="GS737" s="353"/>
      <c r="GT737" s="353"/>
      <c r="GU737" s="353"/>
      <c r="GV737" s="353"/>
      <c r="GW737" s="353"/>
      <c r="GX737" s="353"/>
      <c r="GY737" s="353"/>
      <c r="GZ737" s="353"/>
      <c r="HA737" s="353"/>
      <c r="HB737" s="353"/>
      <c r="HC737" s="353"/>
      <c r="HD737" s="353"/>
      <c r="HE737" s="353"/>
      <c r="HF737" s="353"/>
      <c r="HG737" s="353"/>
      <c r="HH737" s="353"/>
      <c r="HI737" s="353"/>
      <c r="HJ737" s="353"/>
      <c r="HK737" s="353"/>
      <c r="HL737" s="353"/>
      <c r="HM737" s="353"/>
      <c r="HN737" s="353"/>
      <c r="HO737" s="353"/>
      <c r="HP737" s="353"/>
      <c r="HQ737" s="353"/>
      <c r="HR737" s="353"/>
    </row>
    <row r="738" spans="1:226" s="354" customFormat="1" ht="24.95" hidden="1" customHeight="1">
      <c r="A738" s="1547"/>
      <c r="B738" s="1548"/>
      <c r="C738" s="1570"/>
      <c r="D738" s="1572"/>
      <c r="E738" s="393" t="s">
        <v>338</v>
      </c>
      <c r="F738" s="394">
        <f>SUM(F739:F740)</f>
        <v>0</v>
      </c>
      <c r="G738" s="394">
        <f>SUM(G739:G740)</f>
        <v>0</v>
      </c>
      <c r="H738" s="394">
        <f>SUM(H739:H740)</f>
        <v>0</v>
      </c>
      <c r="I738" s="394">
        <f>SUM(I739:I740)</f>
        <v>0</v>
      </c>
      <c r="J738" s="395">
        <f>SUM(J739:J740)</f>
        <v>0</v>
      </c>
      <c r="K738" s="353"/>
    </row>
    <row r="739" spans="1:226" s="354" customFormat="1" ht="15" hidden="1" customHeight="1">
      <c r="A739" s="1547"/>
      <c r="B739" s="1548"/>
      <c r="C739" s="1570"/>
      <c r="D739" s="1572"/>
      <c r="E739" s="358"/>
      <c r="F739" s="359">
        <f>SUM(G739:J739)</f>
        <v>0</v>
      </c>
      <c r="G739" s="359"/>
      <c r="H739" s="359"/>
      <c r="I739" s="359"/>
      <c r="J739" s="360"/>
      <c r="K739" s="353"/>
    </row>
    <row r="740" spans="1:226" s="354" customFormat="1" ht="15" hidden="1" customHeight="1">
      <c r="A740" s="1547"/>
      <c r="B740" s="1548"/>
      <c r="C740" s="1570"/>
      <c r="D740" s="1572"/>
      <c r="E740" s="358"/>
      <c r="F740" s="359">
        <f>SUM(G740:J740)</f>
        <v>0</v>
      </c>
      <c r="G740" s="359"/>
      <c r="H740" s="359"/>
      <c r="I740" s="359"/>
      <c r="J740" s="360"/>
      <c r="K740" s="353"/>
    </row>
    <row r="741" spans="1:226" s="354" customFormat="1" ht="24.95" customHeight="1">
      <c r="A741" s="1547"/>
      <c r="B741" s="1548"/>
      <c r="C741" s="1570"/>
      <c r="D741" s="1572"/>
      <c r="E741" s="361" t="s">
        <v>318</v>
      </c>
      <c r="F741" s="356">
        <f>SUM(F742:F747)</f>
        <v>15000000</v>
      </c>
      <c r="G741" s="356">
        <f>SUM(G742:G747)</f>
        <v>2250000</v>
      </c>
      <c r="H741" s="356">
        <f>SUM(H742:H747)</f>
        <v>12750000</v>
      </c>
      <c r="I741" s="356">
        <f>SUM(I742:I747)</f>
        <v>0</v>
      </c>
      <c r="J741" s="357">
        <f>SUM(J742:J747)</f>
        <v>0</v>
      </c>
      <c r="K741" s="353"/>
    </row>
    <row r="742" spans="1:226" s="354" customFormat="1" ht="15" hidden="1" customHeight="1">
      <c r="A742" s="1547"/>
      <c r="B742" s="1548"/>
      <c r="C742" s="1570"/>
      <c r="D742" s="1572"/>
      <c r="E742" s="358" t="s">
        <v>471</v>
      </c>
      <c r="F742" s="359">
        <f t="shared" ref="F742:F747" si="61">SUM(G742:J742)</f>
        <v>0</v>
      </c>
      <c r="G742" s="359"/>
      <c r="H742" s="359"/>
      <c r="I742" s="359"/>
      <c r="J742" s="360"/>
      <c r="K742" s="353"/>
    </row>
    <row r="743" spans="1:226" s="354" customFormat="1" ht="15" customHeight="1">
      <c r="A743" s="1556"/>
      <c r="B743" s="1559"/>
      <c r="C743" s="1562"/>
      <c r="D743" s="1565"/>
      <c r="E743" s="363" t="s">
        <v>414</v>
      </c>
      <c r="F743" s="359">
        <f t="shared" si="61"/>
        <v>12452500</v>
      </c>
      <c r="G743" s="412"/>
      <c r="H743" s="412">
        <v>12452500</v>
      </c>
      <c r="I743" s="412"/>
      <c r="J743" s="413"/>
      <c r="K743" s="353"/>
    </row>
    <row r="744" spans="1:226" s="354" customFormat="1" ht="15" customHeight="1">
      <c r="A744" s="1556"/>
      <c r="B744" s="1559"/>
      <c r="C744" s="1562"/>
      <c r="D744" s="1565"/>
      <c r="E744" s="363" t="s">
        <v>472</v>
      </c>
      <c r="F744" s="359">
        <f t="shared" si="61"/>
        <v>2197500</v>
      </c>
      <c r="G744" s="412">
        <v>2197500</v>
      </c>
      <c r="H744" s="412"/>
      <c r="I744" s="412"/>
      <c r="J744" s="413"/>
      <c r="K744" s="353"/>
    </row>
    <row r="745" spans="1:226" s="354" customFormat="1" ht="15" hidden="1" customHeight="1">
      <c r="A745" s="1556"/>
      <c r="B745" s="1559"/>
      <c r="C745" s="1562"/>
      <c r="D745" s="1565"/>
      <c r="E745" s="363" t="s">
        <v>407</v>
      </c>
      <c r="F745" s="359">
        <f t="shared" si="61"/>
        <v>0</v>
      </c>
      <c r="G745" s="412"/>
      <c r="H745" s="412"/>
      <c r="I745" s="412"/>
      <c r="J745" s="413"/>
      <c r="K745" s="353"/>
    </row>
    <row r="746" spans="1:226" s="354" customFormat="1" ht="15" customHeight="1">
      <c r="A746" s="1556"/>
      <c r="B746" s="1559"/>
      <c r="C746" s="1562"/>
      <c r="D746" s="1565"/>
      <c r="E746" s="363" t="s">
        <v>408</v>
      </c>
      <c r="F746" s="359">
        <f t="shared" si="61"/>
        <v>297500</v>
      </c>
      <c r="G746" s="412"/>
      <c r="H746" s="412">
        <v>297500</v>
      </c>
      <c r="I746" s="412"/>
      <c r="J746" s="413"/>
      <c r="K746" s="353"/>
    </row>
    <row r="747" spans="1:226" s="354" customFormat="1" ht="15" customHeight="1">
      <c r="A747" s="1556"/>
      <c r="B747" s="1559"/>
      <c r="C747" s="1562"/>
      <c r="D747" s="1565"/>
      <c r="E747" s="411">
        <v>6069</v>
      </c>
      <c r="F747" s="412">
        <f t="shared" si="61"/>
        <v>52500</v>
      </c>
      <c r="G747" s="412">
        <v>52500</v>
      </c>
      <c r="H747" s="412"/>
      <c r="I747" s="412"/>
      <c r="J747" s="413"/>
      <c r="K747" s="353"/>
    </row>
    <row r="748" spans="1:226" s="354" customFormat="1" ht="24.95" customHeight="1">
      <c r="A748" s="1547" t="s">
        <v>421</v>
      </c>
      <c r="B748" s="1548" t="s">
        <v>486</v>
      </c>
      <c r="C748" s="1570">
        <v>600</v>
      </c>
      <c r="D748" s="1572" t="s">
        <v>470</v>
      </c>
      <c r="E748" s="350" t="s">
        <v>315</v>
      </c>
      <c r="F748" s="351">
        <f>SUM(F749,F756)</f>
        <v>20000000</v>
      </c>
      <c r="G748" s="351">
        <f>SUM(G749,G756)</f>
        <v>3000000</v>
      </c>
      <c r="H748" s="351">
        <f>SUM(H749,H756)</f>
        <v>17000000</v>
      </c>
      <c r="I748" s="351">
        <f>SUM(I749,I756)</f>
        <v>0</v>
      </c>
      <c r="J748" s="352">
        <f>SUM(J749,J756)</f>
        <v>0</v>
      </c>
      <c r="K748" s="353"/>
    </row>
    <row r="749" spans="1:226" s="354" customFormat="1" ht="24.95" customHeight="1">
      <c r="A749" s="1547"/>
      <c r="B749" s="1548"/>
      <c r="C749" s="1570"/>
      <c r="D749" s="1572"/>
      <c r="E749" s="355" t="s">
        <v>316</v>
      </c>
      <c r="F749" s="356">
        <f>SUM(F750,F753)</f>
        <v>0</v>
      </c>
      <c r="G749" s="356">
        <f>SUM(G750,G753)</f>
        <v>0</v>
      </c>
      <c r="H749" s="356">
        <f>SUM(H750,H753)</f>
        <v>0</v>
      </c>
      <c r="I749" s="356">
        <f>SUM(I750,I753)</f>
        <v>0</v>
      </c>
      <c r="J749" s="357">
        <f>SUM(J750,J753)</f>
        <v>0</v>
      </c>
      <c r="K749" s="353"/>
    </row>
    <row r="750" spans="1:226" s="354" customFormat="1" ht="24.95" hidden="1" customHeight="1">
      <c r="A750" s="1547"/>
      <c r="B750" s="1548"/>
      <c r="C750" s="1570"/>
      <c r="D750" s="1572"/>
      <c r="E750" s="393" t="s">
        <v>333</v>
      </c>
      <c r="F750" s="394">
        <f>SUM(F751:F752)</f>
        <v>0</v>
      </c>
      <c r="G750" s="394">
        <f>SUM(G751:G752)</f>
        <v>0</v>
      </c>
      <c r="H750" s="394">
        <f>SUM(H751:H752)</f>
        <v>0</v>
      </c>
      <c r="I750" s="394">
        <f>SUM(I751:I752)</f>
        <v>0</v>
      </c>
      <c r="J750" s="395">
        <f>SUM(J751:J752)</f>
        <v>0</v>
      </c>
      <c r="K750" s="353"/>
    </row>
    <row r="751" spans="1:226" s="354" customFormat="1" ht="15" hidden="1" customHeight="1">
      <c r="A751" s="1547"/>
      <c r="B751" s="1548"/>
      <c r="C751" s="1570"/>
      <c r="D751" s="1572"/>
      <c r="E751" s="358"/>
      <c r="F751" s="359">
        <f>SUM(G751:J751)</f>
        <v>0</v>
      </c>
      <c r="G751" s="359"/>
      <c r="H751" s="359"/>
      <c r="I751" s="359"/>
      <c r="J751" s="360"/>
      <c r="K751" s="353"/>
    </row>
    <row r="752" spans="1:226" s="354" customFormat="1" ht="15" hidden="1" customHeight="1">
      <c r="A752" s="1547"/>
      <c r="B752" s="1548"/>
      <c r="C752" s="1570"/>
      <c r="D752" s="1572"/>
      <c r="E752" s="358"/>
      <c r="F752" s="359">
        <f>SUM(G752:J752)</f>
        <v>0</v>
      </c>
      <c r="G752" s="359"/>
      <c r="H752" s="359"/>
      <c r="I752" s="359"/>
      <c r="J752" s="360"/>
      <c r="K752" s="353"/>
      <c r="L752" s="353"/>
      <c r="M752" s="353"/>
      <c r="N752" s="353"/>
      <c r="O752" s="353"/>
      <c r="P752" s="353"/>
      <c r="Q752" s="353"/>
      <c r="R752" s="353"/>
      <c r="S752" s="353"/>
      <c r="T752" s="353"/>
      <c r="U752" s="353"/>
      <c r="V752" s="353"/>
      <c r="W752" s="353"/>
      <c r="X752" s="353"/>
      <c r="Y752" s="353"/>
      <c r="Z752" s="353"/>
      <c r="AA752" s="353"/>
      <c r="AB752" s="353"/>
      <c r="AC752" s="353"/>
      <c r="AD752" s="353"/>
      <c r="AE752" s="353"/>
      <c r="AF752" s="353"/>
      <c r="AG752" s="353"/>
      <c r="AH752" s="353"/>
      <c r="AI752" s="353"/>
      <c r="AJ752" s="353"/>
      <c r="AK752" s="353"/>
      <c r="AL752" s="353"/>
      <c r="AM752" s="353"/>
      <c r="AN752" s="353"/>
      <c r="AO752" s="353"/>
      <c r="AP752" s="353"/>
      <c r="AQ752" s="353"/>
      <c r="AR752" s="353"/>
      <c r="AS752" s="353"/>
      <c r="AT752" s="353"/>
      <c r="AU752" s="353"/>
      <c r="AV752" s="353"/>
      <c r="AW752" s="353"/>
      <c r="AX752" s="353"/>
      <c r="AY752" s="353"/>
      <c r="AZ752" s="353"/>
      <c r="BA752" s="353"/>
      <c r="BB752" s="353"/>
      <c r="BC752" s="353"/>
      <c r="BD752" s="353"/>
      <c r="BE752" s="353"/>
      <c r="BF752" s="353"/>
      <c r="BG752" s="353"/>
      <c r="BH752" s="353"/>
      <c r="BI752" s="353"/>
      <c r="BJ752" s="353"/>
      <c r="BK752" s="353"/>
      <c r="BL752" s="353"/>
      <c r="BM752" s="353"/>
      <c r="BN752" s="353"/>
      <c r="BO752" s="353"/>
      <c r="BP752" s="353"/>
      <c r="BQ752" s="353"/>
      <c r="BR752" s="353"/>
      <c r="BS752" s="353"/>
      <c r="BT752" s="353"/>
      <c r="BU752" s="353"/>
      <c r="BV752" s="353"/>
      <c r="BW752" s="353"/>
      <c r="BX752" s="353"/>
      <c r="BY752" s="353"/>
      <c r="BZ752" s="353"/>
      <c r="CA752" s="353"/>
      <c r="CB752" s="353"/>
      <c r="CC752" s="353"/>
      <c r="CD752" s="353"/>
      <c r="CE752" s="353"/>
      <c r="CF752" s="353"/>
      <c r="CG752" s="353"/>
      <c r="CH752" s="353"/>
      <c r="CI752" s="353"/>
      <c r="CJ752" s="353"/>
      <c r="CK752" s="353"/>
      <c r="CL752" s="353"/>
      <c r="CM752" s="353"/>
      <c r="CN752" s="353"/>
      <c r="CO752" s="353"/>
      <c r="CP752" s="353"/>
      <c r="CQ752" s="353"/>
      <c r="CR752" s="353"/>
      <c r="CS752" s="353"/>
      <c r="CT752" s="353"/>
      <c r="CU752" s="353"/>
      <c r="CV752" s="353"/>
      <c r="CW752" s="353"/>
      <c r="CX752" s="353"/>
      <c r="CY752" s="353"/>
      <c r="CZ752" s="353"/>
      <c r="DA752" s="353"/>
      <c r="DB752" s="353"/>
      <c r="DC752" s="353"/>
      <c r="DD752" s="353"/>
      <c r="DE752" s="353"/>
      <c r="DF752" s="353"/>
      <c r="DG752" s="353"/>
      <c r="DH752" s="353"/>
      <c r="DI752" s="353"/>
      <c r="DJ752" s="353"/>
      <c r="DK752" s="353"/>
      <c r="DL752" s="353"/>
      <c r="DM752" s="353"/>
      <c r="DN752" s="353"/>
      <c r="DO752" s="353"/>
      <c r="DP752" s="353"/>
      <c r="DQ752" s="353"/>
      <c r="DR752" s="353"/>
      <c r="DS752" s="353"/>
      <c r="DT752" s="353"/>
      <c r="DU752" s="353"/>
      <c r="DV752" s="353"/>
      <c r="DW752" s="353"/>
      <c r="DX752" s="353"/>
      <c r="DY752" s="353"/>
      <c r="DZ752" s="353"/>
      <c r="EA752" s="353"/>
      <c r="EB752" s="353"/>
      <c r="EC752" s="353"/>
      <c r="ED752" s="353"/>
      <c r="EE752" s="353"/>
      <c r="EF752" s="353"/>
      <c r="EG752" s="353"/>
      <c r="EH752" s="353"/>
      <c r="EI752" s="353"/>
      <c r="EJ752" s="353"/>
      <c r="EK752" s="353"/>
      <c r="EL752" s="353"/>
      <c r="EM752" s="353"/>
      <c r="EN752" s="353"/>
      <c r="EO752" s="353"/>
      <c r="EP752" s="353"/>
      <c r="EQ752" s="353"/>
      <c r="ER752" s="353"/>
      <c r="ES752" s="353"/>
      <c r="ET752" s="353"/>
      <c r="EU752" s="353"/>
      <c r="EV752" s="353"/>
      <c r="EW752" s="353"/>
      <c r="EX752" s="353"/>
      <c r="EY752" s="353"/>
      <c r="EZ752" s="353"/>
      <c r="FA752" s="353"/>
      <c r="FB752" s="353"/>
      <c r="FC752" s="353"/>
      <c r="FD752" s="353"/>
      <c r="FE752" s="353"/>
      <c r="FF752" s="353"/>
      <c r="FG752" s="353"/>
      <c r="FH752" s="353"/>
      <c r="FI752" s="353"/>
      <c r="FJ752" s="353"/>
      <c r="FK752" s="353"/>
      <c r="FL752" s="353"/>
      <c r="FM752" s="353"/>
      <c r="FN752" s="353"/>
      <c r="FO752" s="353"/>
      <c r="FP752" s="353"/>
      <c r="FQ752" s="353"/>
      <c r="FR752" s="353"/>
      <c r="FS752" s="353"/>
      <c r="FT752" s="353"/>
      <c r="FU752" s="353"/>
      <c r="FV752" s="353"/>
      <c r="FW752" s="353"/>
      <c r="FX752" s="353"/>
      <c r="FY752" s="353"/>
      <c r="FZ752" s="353"/>
      <c r="GA752" s="353"/>
      <c r="GB752" s="353"/>
      <c r="GC752" s="353"/>
      <c r="GD752" s="353"/>
      <c r="GE752" s="353"/>
      <c r="GF752" s="353"/>
      <c r="GG752" s="353"/>
      <c r="GH752" s="353"/>
      <c r="GI752" s="353"/>
      <c r="GJ752" s="353"/>
      <c r="GK752" s="353"/>
      <c r="GL752" s="353"/>
      <c r="GM752" s="353"/>
      <c r="GN752" s="353"/>
      <c r="GO752" s="353"/>
      <c r="GP752" s="353"/>
      <c r="GQ752" s="353"/>
      <c r="GR752" s="353"/>
      <c r="GS752" s="353"/>
      <c r="GT752" s="353"/>
      <c r="GU752" s="353"/>
      <c r="GV752" s="353"/>
      <c r="GW752" s="353"/>
      <c r="GX752" s="353"/>
      <c r="GY752" s="353"/>
      <c r="GZ752" s="353"/>
      <c r="HA752" s="353"/>
      <c r="HB752" s="353"/>
      <c r="HC752" s="353"/>
      <c r="HD752" s="353"/>
      <c r="HE752" s="353"/>
      <c r="HF752" s="353"/>
      <c r="HG752" s="353"/>
      <c r="HH752" s="353"/>
      <c r="HI752" s="353"/>
      <c r="HJ752" s="353"/>
      <c r="HK752" s="353"/>
      <c r="HL752" s="353"/>
      <c r="HM752" s="353"/>
      <c r="HN752" s="353"/>
      <c r="HO752" s="353"/>
      <c r="HP752" s="353"/>
      <c r="HQ752" s="353"/>
      <c r="HR752" s="353"/>
    </row>
    <row r="753" spans="1:226" s="354" customFormat="1" ht="24.95" hidden="1" customHeight="1">
      <c r="A753" s="1547"/>
      <c r="B753" s="1548"/>
      <c r="C753" s="1570"/>
      <c r="D753" s="1572"/>
      <c r="E753" s="393" t="s">
        <v>338</v>
      </c>
      <c r="F753" s="394">
        <f>SUM(F754:F755)</f>
        <v>0</v>
      </c>
      <c r="G753" s="394">
        <f>SUM(G754:G755)</f>
        <v>0</v>
      </c>
      <c r="H753" s="394">
        <f>SUM(H754:H755)</f>
        <v>0</v>
      </c>
      <c r="I753" s="394">
        <f>SUM(I754:I755)</f>
        <v>0</v>
      </c>
      <c r="J753" s="395">
        <f>SUM(J754:J755)</f>
        <v>0</v>
      </c>
      <c r="K753" s="353"/>
    </row>
    <row r="754" spans="1:226" s="354" customFormat="1" ht="15" hidden="1" customHeight="1">
      <c r="A754" s="1547"/>
      <c r="B754" s="1548"/>
      <c r="C754" s="1570"/>
      <c r="D754" s="1572"/>
      <c r="E754" s="358"/>
      <c r="F754" s="359">
        <f>SUM(G754:J754)</f>
        <v>0</v>
      </c>
      <c r="G754" s="359"/>
      <c r="H754" s="359"/>
      <c r="I754" s="359"/>
      <c r="J754" s="360"/>
      <c r="K754" s="353"/>
    </row>
    <row r="755" spans="1:226" s="354" customFormat="1" ht="15" hidden="1" customHeight="1">
      <c r="A755" s="1547"/>
      <c r="B755" s="1548"/>
      <c r="C755" s="1570"/>
      <c r="D755" s="1572"/>
      <c r="E755" s="358"/>
      <c r="F755" s="359">
        <f>SUM(G755:J755)</f>
        <v>0</v>
      </c>
      <c r="G755" s="359"/>
      <c r="H755" s="359"/>
      <c r="I755" s="359"/>
      <c r="J755" s="360"/>
      <c r="K755" s="353"/>
    </row>
    <row r="756" spans="1:226" s="354" customFormat="1" ht="24.95" customHeight="1">
      <c r="A756" s="1547"/>
      <c r="B756" s="1548"/>
      <c r="C756" s="1570"/>
      <c r="D756" s="1572"/>
      <c r="E756" s="361" t="s">
        <v>318</v>
      </c>
      <c r="F756" s="356">
        <f>SUM(F757:F762)</f>
        <v>20000000</v>
      </c>
      <c r="G756" s="356">
        <f>SUM(G757:G762)</f>
        <v>3000000</v>
      </c>
      <c r="H756" s="356">
        <f>SUM(H757:H762)</f>
        <v>17000000</v>
      </c>
      <c r="I756" s="356">
        <f>SUM(I757:I762)</f>
        <v>0</v>
      </c>
      <c r="J756" s="357">
        <f>SUM(J757:J762)</f>
        <v>0</v>
      </c>
      <c r="K756" s="353"/>
    </row>
    <row r="757" spans="1:226" s="354" customFormat="1" ht="15" hidden="1" customHeight="1">
      <c r="A757" s="1547"/>
      <c r="B757" s="1548"/>
      <c r="C757" s="1570"/>
      <c r="D757" s="1572"/>
      <c r="E757" s="358" t="s">
        <v>471</v>
      </c>
      <c r="F757" s="359">
        <f t="shared" ref="F757:F762" si="62">SUM(G757:J757)</f>
        <v>0</v>
      </c>
      <c r="G757" s="359"/>
      <c r="H757" s="359"/>
      <c r="I757" s="359"/>
      <c r="J757" s="360"/>
      <c r="K757" s="353"/>
    </row>
    <row r="758" spans="1:226" s="354" customFormat="1" ht="15" customHeight="1">
      <c r="A758" s="1556"/>
      <c r="B758" s="1559"/>
      <c r="C758" s="1562"/>
      <c r="D758" s="1565"/>
      <c r="E758" s="363" t="s">
        <v>414</v>
      </c>
      <c r="F758" s="359">
        <f t="shared" si="62"/>
        <v>16915000</v>
      </c>
      <c r="G758" s="412"/>
      <c r="H758" s="412">
        <v>16915000</v>
      </c>
      <c r="I758" s="412"/>
      <c r="J758" s="413"/>
      <c r="K758" s="353"/>
    </row>
    <row r="759" spans="1:226" s="354" customFormat="1" ht="15" customHeight="1">
      <c r="A759" s="1556"/>
      <c r="B759" s="1559"/>
      <c r="C759" s="1562"/>
      <c r="D759" s="1565"/>
      <c r="E759" s="363" t="s">
        <v>472</v>
      </c>
      <c r="F759" s="359">
        <f t="shared" si="62"/>
        <v>2985000</v>
      </c>
      <c r="G759" s="412">
        <v>2985000</v>
      </c>
      <c r="H759" s="412"/>
      <c r="I759" s="412"/>
      <c r="J759" s="413"/>
      <c r="K759" s="353"/>
    </row>
    <row r="760" spans="1:226" s="354" customFormat="1" ht="15" hidden="1" customHeight="1">
      <c r="A760" s="1556"/>
      <c r="B760" s="1559"/>
      <c r="C760" s="1562"/>
      <c r="D760" s="1565"/>
      <c r="E760" s="363" t="s">
        <v>407</v>
      </c>
      <c r="F760" s="359">
        <f t="shared" si="62"/>
        <v>0</v>
      </c>
      <c r="G760" s="412"/>
      <c r="H760" s="412"/>
      <c r="I760" s="412"/>
      <c r="J760" s="413"/>
      <c r="K760" s="353"/>
    </row>
    <row r="761" spans="1:226" s="354" customFormat="1" ht="15" customHeight="1">
      <c r="A761" s="1556"/>
      <c r="B761" s="1559"/>
      <c r="C761" s="1562"/>
      <c r="D761" s="1565"/>
      <c r="E761" s="363" t="s">
        <v>408</v>
      </c>
      <c r="F761" s="359">
        <f t="shared" si="62"/>
        <v>85000</v>
      </c>
      <c r="G761" s="412"/>
      <c r="H761" s="412">
        <v>85000</v>
      </c>
      <c r="I761" s="412"/>
      <c r="J761" s="413"/>
      <c r="K761" s="353"/>
    </row>
    <row r="762" spans="1:226" s="354" customFormat="1" ht="15" customHeight="1">
      <c r="A762" s="1556"/>
      <c r="B762" s="1559"/>
      <c r="C762" s="1562"/>
      <c r="D762" s="1565"/>
      <c r="E762" s="411">
        <v>6069</v>
      </c>
      <c r="F762" s="412">
        <f t="shared" si="62"/>
        <v>15000</v>
      </c>
      <c r="G762" s="412">
        <v>15000</v>
      </c>
      <c r="H762" s="412"/>
      <c r="I762" s="412"/>
      <c r="J762" s="413"/>
      <c r="K762" s="353"/>
    </row>
    <row r="763" spans="1:226" s="354" customFormat="1" ht="24.95" customHeight="1">
      <c r="A763" s="1547" t="s">
        <v>423</v>
      </c>
      <c r="B763" s="1548" t="s">
        <v>487</v>
      </c>
      <c r="C763" s="1570">
        <v>600</v>
      </c>
      <c r="D763" s="1572" t="s">
        <v>470</v>
      </c>
      <c r="E763" s="350" t="s">
        <v>315</v>
      </c>
      <c r="F763" s="351">
        <f>SUM(F764,F771)</f>
        <v>14242626</v>
      </c>
      <c r="G763" s="351">
        <f>SUM(G764,G771)</f>
        <v>2136394</v>
      </c>
      <c r="H763" s="351">
        <f>SUM(H764,H771)</f>
        <v>12106232</v>
      </c>
      <c r="I763" s="351">
        <f>SUM(I764,I771)</f>
        <v>0</v>
      </c>
      <c r="J763" s="352">
        <f>SUM(J764,J771)</f>
        <v>0</v>
      </c>
      <c r="K763" s="353"/>
    </row>
    <row r="764" spans="1:226" s="354" customFormat="1" ht="24.95" customHeight="1">
      <c r="A764" s="1547"/>
      <c r="B764" s="1548"/>
      <c r="C764" s="1570"/>
      <c r="D764" s="1572"/>
      <c r="E764" s="355" t="s">
        <v>316</v>
      </c>
      <c r="F764" s="356">
        <f>SUM(F765,F768)</f>
        <v>0</v>
      </c>
      <c r="G764" s="356">
        <f>SUM(G765,G768)</f>
        <v>0</v>
      </c>
      <c r="H764" s="356">
        <f>SUM(H765,H768)</f>
        <v>0</v>
      </c>
      <c r="I764" s="356">
        <f>SUM(I765,I768)</f>
        <v>0</v>
      </c>
      <c r="J764" s="357">
        <f>SUM(J765,J768)</f>
        <v>0</v>
      </c>
      <c r="K764" s="353"/>
    </row>
    <row r="765" spans="1:226" s="354" customFormat="1" ht="24.95" hidden="1" customHeight="1">
      <c r="A765" s="1547"/>
      <c r="B765" s="1548"/>
      <c r="C765" s="1570"/>
      <c r="D765" s="1572"/>
      <c r="E765" s="393" t="s">
        <v>333</v>
      </c>
      <c r="F765" s="394">
        <f>SUM(F766:F767)</f>
        <v>0</v>
      </c>
      <c r="G765" s="394">
        <f>SUM(G766:G767)</f>
        <v>0</v>
      </c>
      <c r="H765" s="394">
        <f>SUM(H766:H767)</f>
        <v>0</v>
      </c>
      <c r="I765" s="394">
        <f>SUM(I766:I767)</f>
        <v>0</v>
      </c>
      <c r="J765" s="395">
        <f>SUM(J766:J767)</f>
        <v>0</v>
      </c>
      <c r="K765" s="353"/>
    </row>
    <row r="766" spans="1:226" s="354" customFormat="1" ht="15" hidden="1" customHeight="1">
      <c r="A766" s="1547"/>
      <c r="B766" s="1548"/>
      <c r="C766" s="1570"/>
      <c r="D766" s="1572"/>
      <c r="E766" s="358"/>
      <c r="F766" s="359">
        <f>SUM(G766:J766)</f>
        <v>0</v>
      </c>
      <c r="G766" s="359"/>
      <c r="H766" s="359"/>
      <c r="I766" s="359"/>
      <c r="J766" s="360"/>
      <c r="K766" s="353"/>
    </row>
    <row r="767" spans="1:226" s="354" customFormat="1" ht="15" hidden="1" customHeight="1">
      <c r="A767" s="1547"/>
      <c r="B767" s="1548"/>
      <c r="C767" s="1570"/>
      <c r="D767" s="1572"/>
      <c r="E767" s="358"/>
      <c r="F767" s="359">
        <f>SUM(G767:J767)</f>
        <v>0</v>
      </c>
      <c r="G767" s="359"/>
      <c r="H767" s="359"/>
      <c r="I767" s="359"/>
      <c r="J767" s="360"/>
      <c r="K767" s="353"/>
      <c r="L767" s="353"/>
      <c r="M767" s="353"/>
      <c r="N767" s="353"/>
      <c r="O767" s="353"/>
      <c r="P767" s="353"/>
      <c r="Q767" s="353"/>
      <c r="R767" s="353"/>
      <c r="S767" s="353"/>
      <c r="T767" s="353"/>
      <c r="U767" s="353"/>
      <c r="V767" s="353"/>
      <c r="W767" s="353"/>
      <c r="X767" s="353"/>
      <c r="Y767" s="353"/>
      <c r="Z767" s="353"/>
      <c r="AA767" s="353"/>
      <c r="AB767" s="353"/>
      <c r="AC767" s="353"/>
      <c r="AD767" s="353"/>
      <c r="AE767" s="353"/>
      <c r="AF767" s="353"/>
      <c r="AG767" s="353"/>
      <c r="AH767" s="353"/>
      <c r="AI767" s="353"/>
      <c r="AJ767" s="353"/>
      <c r="AK767" s="353"/>
      <c r="AL767" s="353"/>
      <c r="AM767" s="353"/>
      <c r="AN767" s="353"/>
      <c r="AO767" s="353"/>
      <c r="AP767" s="353"/>
      <c r="AQ767" s="353"/>
      <c r="AR767" s="353"/>
      <c r="AS767" s="353"/>
      <c r="AT767" s="353"/>
      <c r="AU767" s="353"/>
      <c r="AV767" s="353"/>
      <c r="AW767" s="353"/>
      <c r="AX767" s="353"/>
      <c r="AY767" s="353"/>
      <c r="AZ767" s="353"/>
      <c r="BA767" s="353"/>
      <c r="BB767" s="353"/>
      <c r="BC767" s="353"/>
      <c r="BD767" s="353"/>
      <c r="BE767" s="353"/>
      <c r="BF767" s="353"/>
      <c r="BG767" s="353"/>
      <c r="BH767" s="353"/>
      <c r="BI767" s="353"/>
      <c r="BJ767" s="353"/>
      <c r="BK767" s="353"/>
      <c r="BL767" s="353"/>
      <c r="BM767" s="353"/>
      <c r="BN767" s="353"/>
      <c r="BO767" s="353"/>
      <c r="BP767" s="353"/>
      <c r="BQ767" s="353"/>
      <c r="BR767" s="353"/>
      <c r="BS767" s="353"/>
      <c r="BT767" s="353"/>
      <c r="BU767" s="353"/>
      <c r="BV767" s="353"/>
      <c r="BW767" s="353"/>
      <c r="BX767" s="353"/>
      <c r="BY767" s="353"/>
      <c r="BZ767" s="353"/>
      <c r="CA767" s="353"/>
      <c r="CB767" s="353"/>
      <c r="CC767" s="353"/>
      <c r="CD767" s="353"/>
      <c r="CE767" s="353"/>
      <c r="CF767" s="353"/>
      <c r="CG767" s="353"/>
      <c r="CH767" s="353"/>
      <c r="CI767" s="353"/>
      <c r="CJ767" s="353"/>
      <c r="CK767" s="353"/>
      <c r="CL767" s="353"/>
      <c r="CM767" s="353"/>
      <c r="CN767" s="353"/>
      <c r="CO767" s="353"/>
      <c r="CP767" s="353"/>
      <c r="CQ767" s="353"/>
      <c r="CR767" s="353"/>
      <c r="CS767" s="353"/>
      <c r="CT767" s="353"/>
      <c r="CU767" s="353"/>
      <c r="CV767" s="353"/>
      <c r="CW767" s="353"/>
      <c r="CX767" s="353"/>
      <c r="CY767" s="353"/>
      <c r="CZ767" s="353"/>
      <c r="DA767" s="353"/>
      <c r="DB767" s="353"/>
      <c r="DC767" s="353"/>
      <c r="DD767" s="353"/>
      <c r="DE767" s="353"/>
      <c r="DF767" s="353"/>
      <c r="DG767" s="353"/>
      <c r="DH767" s="353"/>
      <c r="DI767" s="353"/>
      <c r="DJ767" s="353"/>
      <c r="DK767" s="353"/>
      <c r="DL767" s="353"/>
      <c r="DM767" s="353"/>
      <c r="DN767" s="353"/>
      <c r="DO767" s="353"/>
      <c r="DP767" s="353"/>
      <c r="DQ767" s="353"/>
      <c r="DR767" s="353"/>
      <c r="DS767" s="353"/>
      <c r="DT767" s="353"/>
      <c r="DU767" s="353"/>
      <c r="DV767" s="353"/>
      <c r="DW767" s="353"/>
      <c r="DX767" s="353"/>
      <c r="DY767" s="353"/>
      <c r="DZ767" s="353"/>
      <c r="EA767" s="353"/>
      <c r="EB767" s="353"/>
      <c r="EC767" s="353"/>
      <c r="ED767" s="353"/>
      <c r="EE767" s="353"/>
      <c r="EF767" s="353"/>
      <c r="EG767" s="353"/>
      <c r="EH767" s="353"/>
      <c r="EI767" s="353"/>
      <c r="EJ767" s="353"/>
      <c r="EK767" s="353"/>
      <c r="EL767" s="353"/>
      <c r="EM767" s="353"/>
      <c r="EN767" s="353"/>
      <c r="EO767" s="353"/>
      <c r="EP767" s="353"/>
      <c r="EQ767" s="353"/>
      <c r="ER767" s="353"/>
      <c r="ES767" s="353"/>
      <c r="ET767" s="353"/>
      <c r="EU767" s="353"/>
      <c r="EV767" s="353"/>
      <c r="EW767" s="353"/>
      <c r="EX767" s="353"/>
      <c r="EY767" s="353"/>
      <c r="EZ767" s="353"/>
      <c r="FA767" s="353"/>
      <c r="FB767" s="353"/>
      <c r="FC767" s="353"/>
      <c r="FD767" s="353"/>
      <c r="FE767" s="353"/>
      <c r="FF767" s="353"/>
      <c r="FG767" s="353"/>
      <c r="FH767" s="353"/>
      <c r="FI767" s="353"/>
      <c r="FJ767" s="353"/>
      <c r="FK767" s="353"/>
      <c r="FL767" s="353"/>
      <c r="FM767" s="353"/>
      <c r="FN767" s="353"/>
      <c r="FO767" s="353"/>
      <c r="FP767" s="353"/>
      <c r="FQ767" s="353"/>
      <c r="FR767" s="353"/>
      <c r="FS767" s="353"/>
      <c r="FT767" s="353"/>
      <c r="FU767" s="353"/>
      <c r="FV767" s="353"/>
      <c r="FW767" s="353"/>
      <c r="FX767" s="353"/>
      <c r="FY767" s="353"/>
      <c r="FZ767" s="353"/>
      <c r="GA767" s="353"/>
      <c r="GB767" s="353"/>
      <c r="GC767" s="353"/>
      <c r="GD767" s="353"/>
      <c r="GE767" s="353"/>
      <c r="GF767" s="353"/>
      <c r="GG767" s="353"/>
      <c r="GH767" s="353"/>
      <c r="GI767" s="353"/>
      <c r="GJ767" s="353"/>
      <c r="GK767" s="353"/>
      <c r="GL767" s="353"/>
      <c r="GM767" s="353"/>
      <c r="GN767" s="353"/>
      <c r="GO767" s="353"/>
      <c r="GP767" s="353"/>
      <c r="GQ767" s="353"/>
      <c r="GR767" s="353"/>
      <c r="GS767" s="353"/>
      <c r="GT767" s="353"/>
      <c r="GU767" s="353"/>
      <c r="GV767" s="353"/>
      <c r="GW767" s="353"/>
      <c r="GX767" s="353"/>
      <c r="GY767" s="353"/>
      <c r="GZ767" s="353"/>
      <c r="HA767" s="353"/>
      <c r="HB767" s="353"/>
      <c r="HC767" s="353"/>
      <c r="HD767" s="353"/>
      <c r="HE767" s="353"/>
      <c r="HF767" s="353"/>
      <c r="HG767" s="353"/>
      <c r="HH767" s="353"/>
      <c r="HI767" s="353"/>
      <c r="HJ767" s="353"/>
      <c r="HK767" s="353"/>
      <c r="HL767" s="353"/>
      <c r="HM767" s="353"/>
      <c r="HN767" s="353"/>
      <c r="HO767" s="353"/>
      <c r="HP767" s="353"/>
      <c r="HQ767" s="353"/>
      <c r="HR767" s="353"/>
    </row>
    <row r="768" spans="1:226" s="354" customFormat="1" ht="24.95" hidden="1" customHeight="1">
      <c r="A768" s="1547"/>
      <c r="B768" s="1548"/>
      <c r="C768" s="1570"/>
      <c r="D768" s="1572"/>
      <c r="E768" s="393" t="s">
        <v>338</v>
      </c>
      <c r="F768" s="394">
        <f>SUM(F769:F770)</f>
        <v>0</v>
      </c>
      <c r="G768" s="394">
        <f>SUM(G769:G770)</f>
        <v>0</v>
      </c>
      <c r="H768" s="394">
        <f>SUM(H769:H770)</f>
        <v>0</v>
      </c>
      <c r="I768" s="394">
        <f>SUM(I769:I770)</f>
        <v>0</v>
      </c>
      <c r="J768" s="395">
        <f>SUM(J769:J770)</f>
        <v>0</v>
      </c>
      <c r="K768" s="353"/>
    </row>
    <row r="769" spans="1:226" s="354" customFormat="1" ht="15" hidden="1" customHeight="1">
      <c r="A769" s="1547"/>
      <c r="B769" s="1548"/>
      <c r="C769" s="1570"/>
      <c r="D769" s="1572"/>
      <c r="E769" s="358"/>
      <c r="F769" s="359">
        <f>SUM(G769:J769)</f>
        <v>0</v>
      </c>
      <c r="G769" s="359"/>
      <c r="H769" s="359"/>
      <c r="I769" s="359"/>
      <c r="J769" s="360"/>
      <c r="K769" s="353"/>
    </row>
    <row r="770" spans="1:226" s="354" customFormat="1" ht="15" hidden="1" customHeight="1">
      <c r="A770" s="1547"/>
      <c r="B770" s="1548"/>
      <c r="C770" s="1570"/>
      <c r="D770" s="1572"/>
      <c r="E770" s="358"/>
      <c r="F770" s="359">
        <f>SUM(G770:J770)</f>
        <v>0</v>
      </c>
      <c r="G770" s="359"/>
      <c r="H770" s="359"/>
      <c r="I770" s="359"/>
      <c r="J770" s="360"/>
      <c r="K770" s="353"/>
    </row>
    <row r="771" spans="1:226" s="354" customFormat="1" ht="24.95" customHeight="1">
      <c r="A771" s="1547"/>
      <c r="B771" s="1548"/>
      <c r="C771" s="1570"/>
      <c r="D771" s="1572"/>
      <c r="E771" s="361" t="s">
        <v>318</v>
      </c>
      <c r="F771" s="356">
        <f>SUM(F772:F777)</f>
        <v>14242626</v>
      </c>
      <c r="G771" s="356">
        <f>SUM(G772:G777)</f>
        <v>2136394</v>
      </c>
      <c r="H771" s="356">
        <f>SUM(H772:H777)</f>
        <v>12106232</v>
      </c>
      <c r="I771" s="356">
        <f>SUM(I772:I777)</f>
        <v>0</v>
      </c>
      <c r="J771" s="357">
        <f>SUM(J772:J777)</f>
        <v>0</v>
      </c>
      <c r="K771" s="353"/>
    </row>
    <row r="772" spans="1:226" s="354" customFormat="1" ht="15" hidden="1" customHeight="1">
      <c r="A772" s="1547"/>
      <c r="B772" s="1548"/>
      <c r="C772" s="1570"/>
      <c r="D772" s="1572"/>
      <c r="E772" s="358" t="s">
        <v>471</v>
      </c>
      <c r="F772" s="359">
        <f t="shared" ref="F772:F777" si="63">SUM(G772:J772)</f>
        <v>0</v>
      </c>
      <c r="G772" s="359"/>
      <c r="H772" s="359"/>
      <c r="I772" s="359"/>
      <c r="J772" s="360"/>
      <c r="K772" s="353"/>
    </row>
    <row r="773" spans="1:226" s="354" customFormat="1" ht="15" customHeight="1">
      <c r="A773" s="1556"/>
      <c r="B773" s="1559"/>
      <c r="C773" s="1562"/>
      <c r="D773" s="1565"/>
      <c r="E773" s="363" t="s">
        <v>414</v>
      </c>
      <c r="F773" s="359">
        <f t="shared" si="63"/>
        <v>5731232</v>
      </c>
      <c r="G773" s="412"/>
      <c r="H773" s="412">
        <v>5731232</v>
      </c>
      <c r="I773" s="412"/>
      <c r="J773" s="413"/>
      <c r="K773" s="353"/>
    </row>
    <row r="774" spans="1:226" s="354" customFormat="1" ht="15" customHeight="1">
      <c r="A774" s="1556"/>
      <c r="B774" s="1559"/>
      <c r="C774" s="1562"/>
      <c r="D774" s="1565"/>
      <c r="E774" s="363" t="s">
        <v>472</v>
      </c>
      <c r="F774" s="359">
        <f t="shared" si="63"/>
        <v>1011394</v>
      </c>
      <c r="G774" s="412">
        <v>1011394</v>
      </c>
      <c r="H774" s="412"/>
      <c r="I774" s="412"/>
      <c r="J774" s="413"/>
      <c r="K774" s="353"/>
    </row>
    <row r="775" spans="1:226" s="354" customFormat="1" ht="15" hidden="1" customHeight="1">
      <c r="A775" s="1556"/>
      <c r="B775" s="1559"/>
      <c r="C775" s="1562"/>
      <c r="D775" s="1565"/>
      <c r="E775" s="363" t="s">
        <v>407</v>
      </c>
      <c r="F775" s="359">
        <f t="shared" si="63"/>
        <v>0</v>
      </c>
      <c r="G775" s="412"/>
      <c r="H775" s="412"/>
      <c r="I775" s="412"/>
      <c r="J775" s="413"/>
      <c r="K775" s="353"/>
    </row>
    <row r="776" spans="1:226" s="354" customFormat="1" ht="15" customHeight="1">
      <c r="A776" s="1556"/>
      <c r="B776" s="1559"/>
      <c r="C776" s="1562"/>
      <c r="D776" s="1565"/>
      <c r="E776" s="363" t="s">
        <v>408</v>
      </c>
      <c r="F776" s="359">
        <f t="shared" si="63"/>
        <v>6375000</v>
      </c>
      <c r="G776" s="412"/>
      <c r="H776" s="412">
        <v>6375000</v>
      </c>
      <c r="I776" s="412"/>
      <c r="J776" s="413"/>
      <c r="K776" s="353"/>
    </row>
    <row r="777" spans="1:226" s="354" customFormat="1" ht="15" customHeight="1">
      <c r="A777" s="1556"/>
      <c r="B777" s="1559"/>
      <c r="C777" s="1562"/>
      <c r="D777" s="1565"/>
      <c r="E777" s="411">
        <v>6069</v>
      </c>
      <c r="F777" s="412">
        <f t="shared" si="63"/>
        <v>1125000</v>
      </c>
      <c r="G777" s="412">
        <v>1125000</v>
      </c>
      <c r="H777" s="412"/>
      <c r="I777" s="412"/>
      <c r="J777" s="413"/>
      <c r="K777" s="353"/>
    </row>
    <row r="778" spans="1:226" s="354" customFormat="1" ht="24.95" customHeight="1">
      <c r="A778" s="1547" t="s">
        <v>426</v>
      </c>
      <c r="B778" s="1548" t="s">
        <v>488</v>
      </c>
      <c r="C778" s="1570">
        <v>600</v>
      </c>
      <c r="D778" s="1572" t="s">
        <v>470</v>
      </c>
      <c r="E778" s="350" t="s">
        <v>315</v>
      </c>
      <c r="F778" s="351">
        <f>SUM(F779,F786)</f>
        <v>33000000</v>
      </c>
      <c r="G778" s="351">
        <f>SUM(G779,G786)</f>
        <v>4950000</v>
      </c>
      <c r="H778" s="351">
        <f>SUM(H779,H786)</f>
        <v>28050000</v>
      </c>
      <c r="I778" s="351">
        <f>SUM(I779,I786)</f>
        <v>0</v>
      </c>
      <c r="J778" s="352">
        <f>SUM(J779,J786)</f>
        <v>0</v>
      </c>
      <c r="K778" s="353"/>
    </row>
    <row r="779" spans="1:226" s="354" customFormat="1" ht="24.95" customHeight="1">
      <c r="A779" s="1547"/>
      <c r="B779" s="1548"/>
      <c r="C779" s="1570"/>
      <c r="D779" s="1572"/>
      <c r="E779" s="355" t="s">
        <v>316</v>
      </c>
      <c r="F779" s="356">
        <f>SUM(F780,F783)</f>
        <v>0</v>
      </c>
      <c r="G779" s="356">
        <f>SUM(G780,G783)</f>
        <v>0</v>
      </c>
      <c r="H779" s="356">
        <f>SUM(H780,H783)</f>
        <v>0</v>
      </c>
      <c r="I779" s="356">
        <f>SUM(I780,I783)</f>
        <v>0</v>
      </c>
      <c r="J779" s="357">
        <f>SUM(J780,J783)</f>
        <v>0</v>
      </c>
      <c r="K779" s="353"/>
    </row>
    <row r="780" spans="1:226" s="354" customFormat="1" ht="24.95" hidden="1" customHeight="1">
      <c r="A780" s="1547"/>
      <c r="B780" s="1548"/>
      <c r="C780" s="1570"/>
      <c r="D780" s="1572"/>
      <c r="E780" s="393" t="s">
        <v>333</v>
      </c>
      <c r="F780" s="394">
        <f>SUM(F781:F782)</f>
        <v>0</v>
      </c>
      <c r="G780" s="394">
        <f>SUM(G781:G782)</f>
        <v>0</v>
      </c>
      <c r="H780" s="394">
        <f>SUM(H781:H782)</f>
        <v>0</v>
      </c>
      <c r="I780" s="394">
        <f>SUM(I781:I782)</f>
        <v>0</v>
      </c>
      <c r="J780" s="395">
        <f>SUM(J781:J782)</f>
        <v>0</v>
      </c>
      <c r="K780" s="353"/>
    </row>
    <row r="781" spans="1:226" s="354" customFormat="1" ht="15" hidden="1" customHeight="1">
      <c r="A781" s="1547"/>
      <c r="B781" s="1548"/>
      <c r="C781" s="1570"/>
      <c r="D781" s="1572"/>
      <c r="E781" s="358"/>
      <c r="F781" s="359">
        <f>SUM(G781:J781)</f>
        <v>0</v>
      </c>
      <c r="G781" s="359"/>
      <c r="H781" s="359"/>
      <c r="I781" s="359"/>
      <c r="J781" s="360"/>
      <c r="K781" s="353"/>
    </row>
    <row r="782" spans="1:226" s="354" customFormat="1" ht="15" hidden="1" customHeight="1">
      <c r="A782" s="1547"/>
      <c r="B782" s="1548"/>
      <c r="C782" s="1570"/>
      <c r="D782" s="1572"/>
      <c r="E782" s="358"/>
      <c r="F782" s="359">
        <f>SUM(G782:J782)</f>
        <v>0</v>
      </c>
      <c r="G782" s="359"/>
      <c r="H782" s="359"/>
      <c r="I782" s="359"/>
      <c r="J782" s="360"/>
      <c r="K782" s="353"/>
      <c r="L782" s="353"/>
      <c r="M782" s="353"/>
      <c r="N782" s="353"/>
      <c r="O782" s="353"/>
      <c r="P782" s="353"/>
      <c r="Q782" s="353"/>
      <c r="R782" s="353"/>
      <c r="S782" s="353"/>
      <c r="T782" s="353"/>
      <c r="U782" s="353"/>
      <c r="V782" s="353"/>
      <c r="W782" s="353"/>
      <c r="X782" s="353"/>
      <c r="Y782" s="353"/>
      <c r="Z782" s="353"/>
      <c r="AA782" s="353"/>
      <c r="AB782" s="353"/>
      <c r="AC782" s="353"/>
      <c r="AD782" s="353"/>
      <c r="AE782" s="353"/>
      <c r="AF782" s="353"/>
      <c r="AG782" s="353"/>
      <c r="AH782" s="353"/>
      <c r="AI782" s="353"/>
      <c r="AJ782" s="353"/>
      <c r="AK782" s="353"/>
      <c r="AL782" s="353"/>
      <c r="AM782" s="353"/>
      <c r="AN782" s="353"/>
      <c r="AO782" s="353"/>
      <c r="AP782" s="353"/>
      <c r="AQ782" s="353"/>
      <c r="AR782" s="353"/>
      <c r="AS782" s="353"/>
      <c r="AT782" s="353"/>
      <c r="AU782" s="353"/>
      <c r="AV782" s="353"/>
      <c r="AW782" s="353"/>
      <c r="AX782" s="353"/>
      <c r="AY782" s="353"/>
      <c r="AZ782" s="353"/>
      <c r="BA782" s="353"/>
      <c r="BB782" s="353"/>
      <c r="BC782" s="353"/>
      <c r="BD782" s="353"/>
      <c r="BE782" s="353"/>
      <c r="BF782" s="353"/>
      <c r="BG782" s="353"/>
      <c r="BH782" s="353"/>
      <c r="BI782" s="353"/>
      <c r="BJ782" s="353"/>
      <c r="BK782" s="353"/>
      <c r="BL782" s="353"/>
      <c r="BM782" s="353"/>
      <c r="BN782" s="353"/>
      <c r="BO782" s="353"/>
      <c r="BP782" s="353"/>
      <c r="BQ782" s="353"/>
      <c r="BR782" s="353"/>
      <c r="BS782" s="353"/>
      <c r="BT782" s="353"/>
      <c r="BU782" s="353"/>
      <c r="BV782" s="353"/>
      <c r="BW782" s="353"/>
      <c r="BX782" s="353"/>
      <c r="BY782" s="353"/>
      <c r="BZ782" s="353"/>
      <c r="CA782" s="353"/>
      <c r="CB782" s="353"/>
      <c r="CC782" s="353"/>
      <c r="CD782" s="353"/>
      <c r="CE782" s="353"/>
      <c r="CF782" s="353"/>
      <c r="CG782" s="353"/>
      <c r="CH782" s="353"/>
      <c r="CI782" s="353"/>
      <c r="CJ782" s="353"/>
      <c r="CK782" s="353"/>
      <c r="CL782" s="353"/>
      <c r="CM782" s="353"/>
      <c r="CN782" s="353"/>
      <c r="CO782" s="353"/>
      <c r="CP782" s="353"/>
      <c r="CQ782" s="353"/>
      <c r="CR782" s="353"/>
      <c r="CS782" s="353"/>
      <c r="CT782" s="353"/>
      <c r="CU782" s="353"/>
      <c r="CV782" s="353"/>
      <c r="CW782" s="353"/>
      <c r="CX782" s="353"/>
      <c r="CY782" s="353"/>
      <c r="CZ782" s="353"/>
      <c r="DA782" s="353"/>
      <c r="DB782" s="353"/>
      <c r="DC782" s="353"/>
      <c r="DD782" s="353"/>
      <c r="DE782" s="353"/>
      <c r="DF782" s="353"/>
      <c r="DG782" s="353"/>
      <c r="DH782" s="353"/>
      <c r="DI782" s="353"/>
      <c r="DJ782" s="353"/>
      <c r="DK782" s="353"/>
      <c r="DL782" s="353"/>
      <c r="DM782" s="353"/>
      <c r="DN782" s="353"/>
      <c r="DO782" s="353"/>
      <c r="DP782" s="353"/>
      <c r="DQ782" s="353"/>
      <c r="DR782" s="353"/>
      <c r="DS782" s="353"/>
      <c r="DT782" s="353"/>
      <c r="DU782" s="353"/>
      <c r="DV782" s="353"/>
      <c r="DW782" s="353"/>
      <c r="DX782" s="353"/>
      <c r="DY782" s="353"/>
      <c r="DZ782" s="353"/>
      <c r="EA782" s="353"/>
      <c r="EB782" s="353"/>
      <c r="EC782" s="353"/>
      <c r="ED782" s="353"/>
      <c r="EE782" s="353"/>
      <c r="EF782" s="353"/>
      <c r="EG782" s="353"/>
      <c r="EH782" s="353"/>
      <c r="EI782" s="353"/>
      <c r="EJ782" s="353"/>
      <c r="EK782" s="353"/>
      <c r="EL782" s="353"/>
      <c r="EM782" s="353"/>
      <c r="EN782" s="353"/>
      <c r="EO782" s="353"/>
      <c r="EP782" s="353"/>
      <c r="EQ782" s="353"/>
      <c r="ER782" s="353"/>
      <c r="ES782" s="353"/>
      <c r="ET782" s="353"/>
      <c r="EU782" s="353"/>
      <c r="EV782" s="353"/>
      <c r="EW782" s="353"/>
      <c r="EX782" s="353"/>
      <c r="EY782" s="353"/>
      <c r="EZ782" s="353"/>
      <c r="FA782" s="353"/>
      <c r="FB782" s="353"/>
      <c r="FC782" s="353"/>
      <c r="FD782" s="353"/>
      <c r="FE782" s="353"/>
      <c r="FF782" s="353"/>
      <c r="FG782" s="353"/>
      <c r="FH782" s="353"/>
      <c r="FI782" s="353"/>
      <c r="FJ782" s="353"/>
      <c r="FK782" s="353"/>
      <c r="FL782" s="353"/>
      <c r="FM782" s="353"/>
      <c r="FN782" s="353"/>
      <c r="FO782" s="353"/>
      <c r="FP782" s="353"/>
      <c r="FQ782" s="353"/>
      <c r="FR782" s="353"/>
      <c r="FS782" s="353"/>
      <c r="FT782" s="353"/>
      <c r="FU782" s="353"/>
      <c r="FV782" s="353"/>
      <c r="FW782" s="353"/>
      <c r="FX782" s="353"/>
      <c r="FY782" s="353"/>
      <c r="FZ782" s="353"/>
      <c r="GA782" s="353"/>
      <c r="GB782" s="353"/>
      <c r="GC782" s="353"/>
      <c r="GD782" s="353"/>
      <c r="GE782" s="353"/>
      <c r="GF782" s="353"/>
      <c r="GG782" s="353"/>
      <c r="GH782" s="353"/>
      <c r="GI782" s="353"/>
      <c r="GJ782" s="353"/>
      <c r="GK782" s="353"/>
      <c r="GL782" s="353"/>
      <c r="GM782" s="353"/>
      <c r="GN782" s="353"/>
      <c r="GO782" s="353"/>
      <c r="GP782" s="353"/>
      <c r="GQ782" s="353"/>
      <c r="GR782" s="353"/>
      <c r="GS782" s="353"/>
      <c r="GT782" s="353"/>
      <c r="GU782" s="353"/>
      <c r="GV782" s="353"/>
      <c r="GW782" s="353"/>
      <c r="GX782" s="353"/>
      <c r="GY782" s="353"/>
      <c r="GZ782" s="353"/>
      <c r="HA782" s="353"/>
      <c r="HB782" s="353"/>
      <c r="HC782" s="353"/>
      <c r="HD782" s="353"/>
      <c r="HE782" s="353"/>
      <c r="HF782" s="353"/>
      <c r="HG782" s="353"/>
      <c r="HH782" s="353"/>
      <c r="HI782" s="353"/>
      <c r="HJ782" s="353"/>
      <c r="HK782" s="353"/>
      <c r="HL782" s="353"/>
      <c r="HM782" s="353"/>
      <c r="HN782" s="353"/>
      <c r="HO782" s="353"/>
      <c r="HP782" s="353"/>
      <c r="HQ782" s="353"/>
      <c r="HR782" s="353"/>
    </row>
    <row r="783" spans="1:226" s="354" customFormat="1" ht="24.95" hidden="1" customHeight="1">
      <c r="A783" s="1547"/>
      <c r="B783" s="1548"/>
      <c r="C783" s="1570"/>
      <c r="D783" s="1572"/>
      <c r="E783" s="393" t="s">
        <v>338</v>
      </c>
      <c r="F783" s="394">
        <f>SUM(F784:F785)</f>
        <v>0</v>
      </c>
      <c r="G783" s="394">
        <f>SUM(G784:G785)</f>
        <v>0</v>
      </c>
      <c r="H783" s="394">
        <f>SUM(H784:H785)</f>
        <v>0</v>
      </c>
      <c r="I783" s="394">
        <f>SUM(I784:I785)</f>
        <v>0</v>
      </c>
      <c r="J783" s="395">
        <f>SUM(J784:J785)</f>
        <v>0</v>
      </c>
      <c r="K783" s="353"/>
    </row>
    <row r="784" spans="1:226" s="354" customFormat="1" ht="15" hidden="1" customHeight="1">
      <c r="A784" s="1547"/>
      <c r="B784" s="1548"/>
      <c r="C784" s="1570"/>
      <c r="D784" s="1572"/>
      <c r="E784" s="358"/>
      <c r="F784" s="359">
        <f>SUM(G784:J784)</f>
        <v>0</v>
      </c>
      <c r="G784" s="359"/>
      <c r="H784" s="359"/>
      <c r="I784" s="359"/>
      <c r="J784" s="360"/>
      <c r="K784" s="353"/>
    </row>
    <row r="785" spans="1:226" s="354" customFormat="1" ht="15" hidden="1" customHeight="1">
      <c r="A785" s="1547"/>
      <c r="B785" s="1548"/>
      <c r="C785" s="1570"/>
      <c r="D785" s="1572"/>
      <c r="E785" s="358"/>
      <c r="F785" s="359">
        <f>SUM(G785:J785)</f>
        <v>0</v>
      </c>
      <c r="G785" s="359"/>
      <c r="H785" s="359"/>
      <c r="I785" s="359"/>
      <c r="J785" s="360"/>
      <c r="K785" s="353"/>
    </row>
    <row r="786" spans="1:226" s="354" customFormat="1" ht="24.95" customHeight="1">
      <c r="A786" s="1547"/>
      <c r="B786" s="1548"/>
      <c r="C786" s="1570"/>
      <c r="D786" s="1572"/>
      <c r="E786" s="361" t="s">
        <v>318</v>
      </c>
      <c r="F786" s="356">
        <f>SUM(F787:F792)</f>
        <v>33000000</v>
      </c>
      <c r="G786" s="356">
        <f>SUM(G787:G792)</f>
        <v>4950000</v>
      </c>
      <c r="H786" s="356">
        <f>SUM(H787:H792)</f>
        <v>28050000</v>
      </c>
      <c r="I786" s="356">
        <f>SUM(I787:I792)</f>
        <v>0</v>
      </c>
      <c r="J786" s="357">
        <f>SUM(J787:J792)</f>
        <v>0</v>
      </c>
      <c r="K786" s="353"/>
    </row>
    <row r="787" spans="1:226" s="354" customFormat="1" ht="15" hidden="1" customHeight="1">
      <c r="A787" s="1547"/>
      <c r="B787" s="1548"/>
      <c r="C787" s="1570"/>
      <c r="D787" s="1572"/>
      <c r="E787" s="358" t="s">
        <v>471</v>
      </c>
      <c r="F787" s="359">
        <f t="shared" ref="F787:F792" si="64">SUM(G787:J787)</f>
        <v>0</v>
      </c>
      <c r="G787" s="359"/>
      <c r="H787" s="359"/>
      <c r="I787" s="359"/>
      <c r="J787" s="360"/>
      <c r="K787" s="353"/>
    </row>
    <row r="788" spans="1:226" s="354" customFormat="1" ht="15" customHeight="1">
      <c r="A788" s="1556"/>
      <c r="B788" s="1559"/>
      <c r="C788" s="1562"/>
      <c r="D788" s="1565"/>
      <c r="E788" s="363" t="s">
        <v>414</v>
      </c>
      <c r="F788" s="359">
        <f t="shared" si="64"/>
        <v>26350000</v>
      </c>
      <c r="G788" s="412"/>
      <c r="H788" s="412">
        <v>26350000</v>
      </c>
      <c r="I788" s="412"/>
      <c r="J788" s="413"/>
      <c r="K788" s="353"/>
    </row>
    <row r="789" spans="1:226" s="354" customFormat="1" ht="15" customHeight="1">
      <c r="A789" s="1556"/>
      <c r="B789" s="1559"/>
      <c r="C789" s="1562"/>
      <c r="D789" s="1565"/>
      <c r="E789" s="363" t="s">
        <v>472</v>
      </c>
      <c r="F789" s="359">
        <f t="shared" si="64"/>
        <v>4650000</v>
      </c>
      <c r="G789" s="412">
        <v>4650000</v>
      </c>
      <c r="H789" s="412"/>
      <c r="I789" s="412"/>
      <c r="J789" s="413"/>
      <c r="K789" s="353"/>
    </row>
    <row r="790" spans="1:226" s="354" customFormat="1" ht="15" hidden="1" customHeight="1">
      <c r="A790" s="1556"/>
      <c r="B790" s="1559"/>
      <c r="C790" s="1562"/>
      <c r="D790" s="1565"/>
      <c r="E790" s="363" t="s">
        <v>407</v>
      </c>
      <c r="F790" s="359">
        <f t="shared" si="64"/>
        <v>0</v>
      </c>
      <c r="G790" s="412"/>
      <c r="H790" s="412"/>
      <c r="I790" s="412"/>
      <c r="J790" s="413"/>
      <c r="K790" s="353"/>
    </row>
    <row r="791" spans="1:226" s="354" customFormat="1" ht="15" customHeight="1">
      <c r="A791" s="1556"/>
      <c r="B791" s="1559"/>
      <c r="C791" s="1562"/>
      <c r="D791" s="1565"/>
      <c r="E791" s="363" t="s">
        <v>408</v>
      </c>
      <c r="F791" s="359">
        <f t="shared" si="64"/>
        <v>1700000</v>
      </c>
      <c r="G791" s="412"/>
      <c r="H791" s="412">
        <v>1700000</v>
      </c>
      <c r="I791" s="412"/>
      <c r="J791" s="413"/>
      <c r="K791" s="353"/>
    </row>
    <row r="792" spans="1:226" s="354" customFormat="1" ht="15" customHeight="1">
      <c r="A792" s="1547"/>
      <c r="B792" s="1548"/>
      <c r="C792" s="1570"/>
      <c r="D792" s="1572"/>
      <c r="E792" s="396">
        <v>6069</v>
      </c>
      <c r="F792" s="359">
        <f t="shared" si="64"/>
        <v>300000</v>
      </c>
      <c r="G792" s="359">
        <v>300000</v>
      </c>
      <c r="H792" s="359"/>
      <c r="I792" s="359"/>
      <c r="J792" s="360"/>
      <c r="K792" s="353"/>
    </row>
    <row r="793" spans="1:226" s="354" customFormat="1" ht="24.95" customHeight="1">
      <c r="A793" s="1547" t="s">
        <v>434</v>
      </c>
      <c r="B793" s="1548" t="s">
        <v>489</v>
      </c>
      <c r="C793" s="1570">
        <v>600</v>
      </c>
      <c r="D793" s="1572" t="s">
        <v>470</v>
      </c>
      <c r="E793" s="350" t="s">
        <v>315</v>
      </c>
      <c r="F793" s="351">
        <f>SUM(F794,F801)</f>
        <v>2000000</v>
      </c>
      <c r="G793" s="351">
        <f>SUM(G794,G801)</f>
        <v>300000</v>
      </c>
      <c r="H793" s="351">
        <f>SUM(H794,H801)</f>
        <v>1700000</v>
      </c>
      <c r="I793" s="351">
        <f>SUM(I794,I801)</f>
        <v>0</v>
      </c>
      <c r="J793" s="352">
        <f>SUM(J794,J801)</f>
        <v>0</v>
      </c>
      <c r="K793" s="353"/>
    </row>
    <row r="794" spans="1:226" s="354" customFormat="1" ht="24.95" customHeight="1">
      <c r="A794" s="1547"/>
      <c r="B794" s="1548"/>
      <c r="C794" s="1570"/>
      <c r="D794" s="1572"/>
      <c r="E794" s="355" t="s">
        <v>316</v>
      </c>
      <c r="F794" s="356">
        <f>SUM(F795,F798)</f>
        <v>0</v>
      </c>
      <c r="G794" s="356">
        <f>SUM(G795,G798)</f>
        <v>0</v>
      </c>
      <c r="H794" s="356">
        <f>SUM(H795,H798)</f>
        <v>0</v>
      </c>
      <c r="I794" s="356">
        <f>SUM(I795,I798)</f>
        <v>0</v>
      </c>
      <c r="J794" s="357">
        <f>SUM(J795,J798)</f>
        <v>0</v>
      </c>
      <c r="K794" s="353"/>
    </row>
    <row r="795" spans="1:226" s="354" customFormat="1" ht="24.95" hidden="1" customHeight="1">
      <c r="A795" s="1547"/>
      <c r="B795" s="1548"/>
      <c r="C795" s="1570"/>
      <c r="D795" s="1572"/>
      <c r="E795" s="393" t="s">
        <v>333</v>
      </c>
      <c r="F795" s="394">
        <f>SUM(F796:F797)</f>
        <v>0</v>
      </c>
      <c r="G795" s="394">
        <f>SUM(G796:G797)</f>
        <v>0</v>
      </c>
      <c r="H795" s="394">
        <f>SUM(H796:H797)</f>
        <v>0</v>
      </c>
      <c r="I795" s="394">
        <f>SUM(I796:I797)</f>
        <v>0</v>
      </c>
      <c r="J795" s="395">
        <f>SUM(J796:J797)</f>
        <v>0</v>
      </c>
      <c r="K795" s="353"/>
    </row>
    <row r="796" spans="1:226" s="354" customFormat="1" ht="15" hidden="1" customHeight="1">
      <c r="A796" s="1547"/>
      <c r="B796" s="1548"/>
      <c r="C796" s="1570"/>
      <c r="D796" s="1572"/>
      <c r="E796" s="358"/>
      <c r="F796" s="359">
        <f>SUM(G796:J796)</f>
        <v>0</v>
      </c>
      <c r="G796" s="359"/>
      <c r="H796" s="359"/>
      <c r="I796" s="359"/>
      <c r="J796" s="360"/>
      <c r="K796" s="353"/>
    </row>
    <row r="797" spans="1:226" s="354" customFormat="1" ht="15" hidden="1" customHeight="1">
      <c r="A797" s="1547"/>
      <c r="B797" s="1548"/>
      <c r="C797" s="1570"/>
      <c r="D797" s="1572"/>
      <c r="E797" s="358"/>
      <c r="F797" s="359">
        <f>SUM(G797:J797)</f>
        <v>0</v>
      </c>
      <c r="G797" s="359"/>
      <c r="H797" s="359"/>
      <c r="I797" s="359"/>
      <c r="J797" s="360"/>
      <c r="K797" s="353"/>
      <c r="L797" s="353"/>
      <c r="M797" s="353"/>
      <c r="N797" s="353"/>
      <c r="O797" s="353"/>
      <c r="P797" s="353"/>
      <c r="Q797" s="353"/>
      <c r="R797" s="353"/>
      <c r="S797" s="353"/>
      <c r="T797" s="353"/>
      <c r="U797" s="353"/>
      <c r="V797" s="353"/>
      <c r="W797" s="353"/>
      <c r="X797" s="353"/>
      <c r="Y797" s="353"/>
      <c r="Z797" s="353"/>
      <c r="AA797" s="353"/>
      <c r="AB797" s="353"/>
      <c r="AC797" s="353"/>
      <c r="AD797" s="353"/>
      <c r="AE797" s="353"/>
      <c r="AF797" s="353"/>
      <c r="AG797" s="353"/>
      <c r="AH797" s="353"/>
      <c r="AI797" s="353"/>
      <c r="AJ797" s="353"/>
      <c r="AK797" s="353"/>
      <c r="AL797" s="353"/>
      <c r="AM797" s="353"/>
      <c r="AN797" s="353"/>
      <c r="AO797" s="353"/>
      <c r="AP797" s="353"/>
      <c r="AQ797" s="353"/>
      <c r="AR797" s="353"/>
      <c r="AS797" s="353"/>
      <c r="AT797" s="353"/>
      <c r="AU797" s="353"/>
      <c r="AV797" s="353"/>
      <c r="AW797" s="353"/>
      <c r="AX797" s="353"/>
      <c r="AY797" s="353"/>
      <c r="AZ797" s="353"/>
      <c r="BA797" s="353"/>
      <c r="BB797" s="353"/>
      <c r="BC797" s="353"/>
      <c r="BD797" s="353"/>
      <c r="BE797" s="353"/>
      <c r="BF797" s="353"/>
      <c r="BG797" s="353"/>
      <c r="BH797" s="353"/>
      <c r="BI797" s="353"/>
      <c r="BJ797" s="353"/>
      <c r="BK797" s="353"/>
      <c r="BL797" s="353"/>
      <c r="BM797" s="353"/>
      <c r="BN797" s="353"/>
      <c r="BO797" s="353"/>
      <c r="BP797" s="353"/>
      <c r="BQ797" s="353"/>
      <c r="BR797" s="353"/>
      <c r="BS797" s="353"/>
      <c r="BT797" s="353"/>
      <c r="BU797" s="353"/>
      <c r="BV797" s="353"/>
      <c r="BW797" s="353"/>
      <c r="BX797" s="353"/>
      <c r="BY797" s="353"/>
      <c r="BZ797" s="353"/>
      <c r="CA797" s="353"/>
      <c r="CB797" s="353"/>
      <c r="CC797" s="353"/>
      <c r="CD797" s="353"/>
      <c r="CE797" s="353"/>
      <c r="CF797" s="353"/>
      <c r="CG797" s="353"/>
      <c r="CH797" s="353"/>
      <c r="CI797" s="353"/>
      <c r="CJ797" s="353"/>
      <c r="CK797" s="353"/>
      <c r="CL797" s="353"/>
      <c r="CM797" s="353"/>
      <c r="CN797" s="353"/>
      <c r="CO797" s="353"/>
      <c r="CP797" s="353"/>
      <c r="CQ797" s="353"/>
      <c r="CR797" s="353"/>
      <c r="CS797" s="353"/>
      <c r="CT797" s="353"/>
      <c r="CU797" s="353"/>
      <c r="CV797" s="353"/>
      <c r="CW797" s="353"/>
      <c r="CX797" s="353"/>
      <c r="CY797" s="353"/>
      <c r="CZ797" s="353"/>
      <c r="DA797" s="353"/>
      <c r="DB797" s="353"/>
      <c r="DC797" s="353"/>
      <c r="DD797" s="353"/>
      <c r="DE797" s="353"/>
      <c r="DF797" s="353"/>
      <c r="DG797" s="353"/>
      <c r="DH797" s="353"/>
      <c r="DI797" s="353"/>
      <c r="DJ797" s="353"/>
      <c r="DK797" s="353"/>
      <c r="DL797" s="353"/>
      <c r="DM797" s="353"/>
      <c r="DN797" s="353"/>
      <c r="DO797" s="353"/>
      <c r="DP797" s="353"/>
      <c r="DQ797" s="353"/>
      <c r="DR797" s="353"/>
      <c r="DS797" s="353"/>
      <c r="DT797" s="353"/>
      <c r="DU797" s="353"/>
      <c r="DV797" s="353"/>
      <c r="DW797" s="353"/>
      <c r="DX797" s="353"/>
      <c r="DY797" s="353"/>
      <c r="DZ797" s="353"/>
      <c r="EA797" s="353"/>
      <c r="EB797" s="353"/>
      <c r="EC797" s="353"/>
      <c r="ED797" s="353"/>
      <c r="EE797" s="353"/>
      <c r="EF797" s="353"/>
      <c r="EG797" s="353"/>
      <c r="EH797" s="353"/>
      <c r="EI797" s="353"/>
      <c r="EJ797" s="353"/>
      <c r="EK797" s="353"/>
      <c r="EL797" s="353"/>
      <c r="EM797" s="353"/>
      <c r="EN797" s="353"/>
      <c r="EO797" s="353"/>
      <c r="EP797" s="353"/>
      <c r="EQ797" s="353"/>
      <c r="ER797" s="353"/>
      <c r="ES797" s="353"/>
      <c r="ET797" s="353"/>
      <c r="EU797" s="353"/>
      <c r="EV797" s="353"/>
      <c r="EW797" s="353"/>
      <c r="EX797" s="353"/>
      <c r="EY797" s="353"/>
      <c r="EZ797" s="353"/>
      <c r="FA797" s="353"/>
      <c r="FB797" s="353"/>
      <c r="FC797" s="353"/>
      <c r="FD797" s="353"/>
      <c r="FE797" s="353"/>
      <c r="FF797" s="353"/>
      <c r="FG797" s="353"/>
      <c r="FH797" s="353"/>
      <c r="FI797" s="353"/>
      <c r="FJ797" s="353"/>
      <c r="FK797" s="353"/>
      <c r="FL797" s="353"/>
      <c r="FM797" s="353"/>
      <c r="FN797" s="353"/>
      <c r="FO797" s="353"/>
      <c r="FP797" s="353"/>
      <c r="FQ797" s="353"/>
      <c r="FR797" s="353"/>
      <c r="FS797" s="353"/>
      <c r="FT797" s="353"/>
      <c r="FU797" s="353"/>
      <c r="FV797" s="353"/>
      <c r="FW797" s="353"/>
      <c r="FX797" s="353"/>
      <c r="FY797" s="353"/>
      <c r="FZ797" s="353"/>
      <c r="GA797" s="353"/>
      <c r="GB797" s="353"/>
      <c r="GC797" s="353"/>
      <c r="GD797" s="353"/>
      <c r="GE797" s="353"/>
      <c r="GF797" s="353"/>
      <c r="GG797" s="353"/>
      <c r="GH797" s="353"/>
      <c r="GI797" s="353"/>
      <c r="GJ797" s="353"/>
      <c r="GK797" s="353"/>
      <c r="GL797" s="353"/>
      <c r="GM797" s="353"/>
      <c r="GN797" s="353"/>
      <c r="GO797" s="353"/>
      <c r="GP797" s="353"/>
      <c r="GQ797" s="353"/>
      <c r="GR797" s="353"/>
      <c r="GS797" s="353"/>
      <c r="GT797" s="353"/>
      <c r="GU797" s="353"/>
      <c r="GV797" s="353"/>
      <c r="GW797" s="353"/>
      <c r="GX797" s="353"/>
      <c r="GY797" s="353"/>
      <c r="GZ797" s="353"/>
      <c r="HA797" s="353"/>
      <c r="HB797" s="353"/>
      <c r="HC797" s="353"/>
      <c r="HD797" s="353"/>
      <c r="HE797" s="353"/>
      <c r="HF797" s="353"/>
      <c r="HG797" s="353"/>
      <c r="HH797" s="353"/>
      <c r="HI797" s="353"/>
      <c r="HJ797" s="353"/>
      <c r="HK797" s="353"/>
      <c r="HL797" s="353"/>
      <c r="HM797" s="353"/>
      <c r="HN797" s="353"/>
      <c r="HO797" s="353"/>
      <c r="HP797" s="353"/>
      <c r="HQ797" s="353"/>
      <c r="HR797" s="353"/>
    </row>
    <row r="798" spans="1:226" s="354" customFormat="1" ht="24.95" hidden="1" customHeight="1">
      <c r="A798" s="1547"/>
      <c r="B798" s="1548"/>
      <c r="C798" s="1570"/>
      <c r="D798" s="1572"/>
      <c r="E798" s="393" t="s">
        <v>338</v>
      </c>
      <c r="F798" s="394">
        <f>SUM(F799:F800)</f>
        <v>0</v>
      </c>
      <c r="G798" s="394">
        <f>SUM(G799:G800)</f>
        <v>0</v>
      </c>
      <c r="H798" s="394">
        <f>SUM(H799:H800)</f>
        <v>0</v>
      </c>
      <c r="I798" s="394">
        <f>SUM(I799:I800)</f>
        <v>0</v>
      </c>
      <c r="J798" s="395">
        <f>SUM(J799:J800)</f>
        <v>0</v>
      </c>
      <c r="K798" s="353"/>
    </row>
    <row r="799" spans="1:226" s="354" customFormat="1" ht="15" hidden="1" customHeight="1">
      <c r="A799" s="1547"/>
      <c r="B799" s="1548"/>
      <c r="C799" s="1570"/>
      <c r="D799" s="1572"/>
      <c r="E799" s="358"/>
      <c r="F799" s="359">
        <f>SUM(G799:J799)</f>
        <v>0</v>
      </c>
      <c r="G799" s="359"/>
      <c r="H799" s="359"/>
      <c r="I799" s="359"/>
      <c r="J799" s="360"/>
      <c r="K799" s="353"/>
    </row>
    <row r="800" spans="1:226" s="354" customFormat="1" ht="15" hidden="1" customHeight="1">
      <c r="A800" s="1547"/>
      <c r="B800" s="1548"/>
      <c r="C800" s="1570"/>
      <c r="D800" s="1572"/>
      <c r="E800" s="358"/>
      <c r="F800" s="359">
        <f>SUM(G800:J800)</f>
        <v>0</v>
      </c>
      <c r="G800" s="359"/>
      <c r="H800" s="359"/>
      <c r="I800" s="359"/>
      <c r="J800" s="360"/>
      <c r="K800" s="353"/>
    </row>
    <row r="801" spans="1:226" s="354" customFormat="1" ht="24.95" customHeight="1">
      <c r="A801" s="1547"/>
      <c r="B801" s="1548"/>
      <c r="C801" s="1570"/>
      <c r="D801" s="1572"/>
      <c r="E801" s="361" t="s">
        <v>318</v>
      </c>
      <c r="F801" s="356">
        <f>SUM(F802:F807)</f>
        <v>2000000</v>
      </c>
      <c r="G801" s="356">
        <f>SUM(G802:G807)</f>
        <v>300000</v>
      </c>
      <c r="H801" s="356">
        <f>SUM(H802:H807)</f>
        <v>1700000</v>
      </c>
      <c r="I801" s="356">
        <f>SUM(I802:I807)</f>
        <v>0</v>
      </c>
      <c r="J801" s="357">
        <f>SUM(J802:J807)</f>
        <v>0</v>
      </c>
      <c r="K801" s="353"/>
    </row>
    <row r="802" spans="1:226" s="354" customFormat="1" ht="15" hidden="1" customHeight="1">
      <c r="A802" s="1547"/>
      <c r="B802" s="1548"/>
      <c r="C802" s="1570"/>
      <c r="D802" s="1572"/>
      <c r="E802" s="358" t="s">
        <v>471</v>
      </c>
      <c r="F802" s="359">
        <f t="shared" ref="F802:F807" si="65">SUM(G802:J802)</f>
        <v>0</v>
      </c>
      <c r="G802" s="359"/>
      <c r="H802" s="359"/>
      <c r="I802" s="359"/>
      <c r="J802" s="360"/>
      <c r="K802" s="353"/>
    </row>
    <row r="803" spans="1:226" s="354" customFormat="1" ht="15" customHeight="1">
      <c r="A803" s="1556"/>
      <c r="B803" s="1559"/>
      <c r="C803" s="1562"/>
      <c r="D803" s="1565"/>
      <c r="E803" s="363" t="s">
        <v>414</v>
      </c>
      <c r="F803" s="359">
        <f t="shared" si="65"/>
        <v>1615000</v>
      </c>
      <c r="G803" s="412"/>
      <c r="H803" s="412">
        <v>1615000</v>
      </c>
      <c r="I803" s="412"/>
      <c r="J803" s="413"/>
      <c r="K803" s="353"/>
    </row>
    <row r="804" spans="1:226" s="354" customFormat="1" ht="15" customHeight="1">
      <c r="A804" s="1556"/>
      <c r="B804" s="1559"/>
      <c r="C804" s="1562"/>
      <c r="D804" s="1565"/>
      <c r="E804" s="363" t="s">
        <v>472</v>
      </c>
      <c r="F804" s="359">
        <f t="shared" si="65"/>
        <v>285000</v>
      </c>
      <c r="G804" s="412">
        <v>285000</v>
      </c>
      <c r="H804" s="412"/>
      <c r="I804" s="412"/>
      <c r="J804" s="413"/>
      <c r="K804" s="353"/>
    </row>
    <row r="805" spans="1:226" s="354" customFormat="1" ht="15" hidden="1" customHeight="1">
      <c r="A805" s="1556"/>
      <c r="B805" s="1559"/>
      <c r="C805" s="1562"/>
      <c r="D805" s="1565"/>
      <c r="E805" s="363" t="s">
        <v>407</v>
      </c>
      <c r="F805" s="359">
        <f t="shared" si="65"/>
        <v>0</v>
      </c>
      <c r="G805" s="412"/>
      <c r="H805" s="412"/>
      <c r="I805" s="412"/>
      <c r="J805" s="413"/>
      <c r="K805" s="353"/>
    </row>
    <row r="806" spans="1:226" s="354" customFormat="1" ht="15" customHeight="1">
      <c r="A806" s="1556"/>
      <c r="B806" s="1559"/>
      <c r="C806" s="1562"/>
      <c r="D806" s="1565"/>
      <c r="E806" s="363" t="s">
        <v>408</v>
      </c>
      <c r="F806" s="359">
        <f t="shared" si="65"/>
        <v>85000</v>
      </c>
      <c r="G806" s="412"/>
      <c r="H806" s="412">
        <v>85000</v>
      </c>
      <c r="I806" s="412"/>
      <c r="J806" s="413"/>
      <c r="K806" s="353"/>
    </row>
    <row r="807" spans="1:226" s="354" customFormat="1" ht="15" customHeight="1">
      <c r="A807" s="1556"/>
      <c r="B807" s="1559"/>
      <c r="C807" s="1562"/>
      <c r="D807" s="1565"/>
      <c r="E807" s="411">
        <v>6069</v>
      </c>
      <c r="F807" s="412">
        <f t="shared" si="65"/>
        <v>15000</v>
      </c>
      <c r="G807" s="412">
        <v>15000</v>
      </c>
      <c r="H807" s="412"/>
      <c r="I807" s="412"/>
      <c r="J807" s="413"/>
      <c r="K807" s="353"/>
    </row>
    <row r="808" spans="1:226" s="354" customFormat="1" ht="24.95" customHeight="1">
      <c r="A808" s="1556" t="s">
        <v>436</v>
      </c>
      <c r="B808" s="1559" t="s">
        <v>490</v>
      </c>
      <c r="C808" s="1562">
        <v>600</v>
      </c>
      <c r="D808" s="1565" t="s">
        <v>470</v>
      </c>
      <c r="E808" s="350" t="s">
        <v>315</v>
      </c>
      <c r="F808" s="351">
        <f>SUM(F809,F816)</f>
        <v>6500000</v>
      </c>
      <c r="G808" s="351">
        <f>SUM(G809,G816)</f>
        <v>975000</v>
      </c>
      <c r="H808" s="351">
        <f>SUM(H809,H816)</f>
        <v>5525000</v>
      </c>
      <c r="I808" s="351">
        <f>SUM(I809,I816)</f>
        <v>0</v>
      </c>
      <c r="J808" s="352">
        <f>SUM(J809,J816)</f>
        <v>0</v>
      </c>
      <c r="K808" s="353"/>
    </row>
    <row r="809" spans="1:226" s="354" customFormat="1" ht="24.95" customHeight="1">
      <c r="A809" s="1557"/>
      <c r="B809" s="1560"/>
      <c r="C809" s="1563"/>
      <c r="D809" s="1566"/>
      <c r="E809" s="355" t="s">
        <v>316</v>
      </c>
      <c r="F809" s="356">
        <f>SUM(F810,F813)</f>
        <v>0</v>
      </c>
      <c r="G809" s="356">
        <f>SUM(G810,G813)</f>
        <v>0</v>
      </c>
      <c r="H809" s="356">
        <f>SUM(H810,H813)</f>
        <v>0</v>
      </c>
      <c r="I809" s="356">
        <f>SUM(I810,I813)</f>
        <v>0</v>
      </c>
      <c r="J809" s="357">
        <f>SUM(J810,J813)</f>
        <v>0</v>
      </c>
      <c r="K809" s="353"/>
    </row>
    <row r="810" spans="1:226" s="354" customFormat="1" ht="24.95" hidden="1" customHeight="1">
      <c r="A810" s="1557"/>
      <c r="B810" s="1560"/>
      <c r="C810" s="1563"/>
      <c r="D810" s="1566"/>
      <c r="E810" s="393" t="s">
        <v>333</v>
      </c>
      <c r="F810" s="394">
        <f>SUM(F811:F812)</f>
        <v>0</v>
      </c>
      <c r="G810" s="394">
        <f>SUM(G811:G812)</f>
        <v>0</v>
      </c>
      <c r="H810" s="394">
        <f>SUM(H811:H812)</f>
        <v>0</v>
      </c>
      <c r="I810" s="394">
        <f>SUM(I811:I812)</f>
        <v>0</v>
      </c>
      <c r="J810" s="395">
        <f>SUM(J811:J812)</f>
        <v>0</v>
      </c>
      <c r="K810" s="353"/>
    </row>
    <row r="811" spans="1:226" s="354" customFormat="1" ht="15" hidden="1" customHeight="1">
      <c r="A811" s="1557"/>
      <c r="B811" s="1560"/>
      <c r="C811" s="1563"/>
      <c r="D811" s="1566"/>
      <c r="E811" s="358"/>
      <c r="F811" s="359">
        <f>SUM(G811:J811)</f>
        <v>0</v>
      </c>
      <c r="G811" s="359"/>
      <c r="H811" s="359"/>
      <c r="I811" s="359"/>
      <c r="J811" s="360"/>
      <c r="K811" s="353"/>
    </row>
    <row r="812" spans="1:226" s="354" customFormat="1" ht="15" hidden="1" customHeight="1">
      <c r="A812" s="1557"/>
      <c r="B812" s="1560"/>
      <c r="C812" s="1563"/>
      <c r="D812" s="1566"/>
      <c r="E812" s="358"/>
      <c r="F812" s="359">
        <f>SUM(G812:J812)</f>
        <v>0</v>
      </c>
      <c r="G812" s="359"/>
      <c r="H812" s="359"/>
      <c r="I812" s="359"/>
      <c r="J812" s="360"/>
      <c r="K812" s="353"/>
    </row>
    <row r="813" spans="1:226" s="354" customFormat="1" ht="24.95" hidden="1" customHeight="1">
      <c r="A813" s="1557"/>
      <c r="B813" s="1560"/>
      <c r="C813" s="1563"/>
      <c r="D813" s="1566"/>
      <c r="E813" s="393" t="s">
        <v>338</v>
      </c>
      <c r="F813" s="394">
        <f>SUM(F814:F815)</f>
        <v>0</v>
      </c>
      <c r="G813" s="394">
        <f>SUM(G814:G815)</f>
        <v>0</v>
      </c>
      <c r="H813" s="394">
        <f>SUM(H814:H815)</f>
        <v>0</v>
      </c>
      <c r="I813" s="394">
        <f>SUM(I814:I815)</f>
        <v>0</v>
      </c>
      <c r="J813" s="395">
        <f>SUM(J814:J815)</f>
        <v>0</v>
      </c>
      <c r="K813" s="353"/>
    </row>
    <row r="814" spans="1:226" s="354" customFormat="1" ht="15" hidden="1" customHeight="1">
      <c r="A814" s="1557"/>
      <c r="B814" s="1560"/>
      <c r="C814" s="1563"/>
      <c r="D814" s="1566"/>
      <c r="E814" s="358"/>
      <c r="F814" s="359">
        <f>SUM(G814:J814)</f>
        <v>0</v>
      </c>
      <c r="G814" s="359"/>
      <c r="H814" s="359"/>
      <c r="I814" s="359"/>
      <c r="J814" s="360"/>
      <c r="K814" s="353"/>
    </row>
    <row r="815" spans="1:226" s="354" customFormat="1" ht="15" hidden="1" customHeight="1">
      <c r="A815" s="1557"/>
      <c r="B815" s="1560"/>
      <c r="C815" s="1563"/>
      <c r="D815" s="1566"/>
      <c r="E815" s="358"/>
      <c r="F815" s="359">
        <f>SUM(G815:J815)</f>
        <v>0</v>
      </c>
      <c r="G815" s="359"/>
      <c r="H815" s="359"/>
      <c r="I815" s="359"/>
      <c r="J815" s="360"/>
      <c r="K815" s="353"/>
    </row>
    <row r="816" spans="1:226" s="354" customFormat="1" ht="24.95" customHeight="1">
      <c r="A816" s="1557"/>
      <c r="B816" s="1560"/>
      <c r="C816" s="1563"/>
      <c r="D816" s="1566"/>
      <c r="E816" s="361" t="s">
        <v>318</v>
      </c>
      <c r="F816" s="356">
        <f>SUM(F817:F822)</f>
        <v>6500000</v>
      </c>
      <c r="G816" s="356">
        <f>SUM(G817:G822)</f>
        <v>975000</v>
      </c>
      <c r="H816" s="356">
        <f>SUM(H817:H822)</f>
        <v>5525000</v>
      </c>
      <c r="I816" s="356">
        <f>SUM(I817:I822)</f>
        <v>0</v>
      </c>
      <c r="J816" s="357">
        <f>SUM(J817:J822)</f>
        <v>0</v>
      </c>
      <c r="K816" s="353"/>
      <c r="L816" s="353"/>
      <c r="M816" s="353"/>
      <c r="N816" s="353"/>
      <c r="O816" s="353"/>
      <c r="P816" s="353"/>
      <c r="Q816" s="353"/>
      <c r="R816" s="353"/>
      <c r="S816" s="353"/>
      <c r="T816" s="353"/>
      <c r="U816" s="353"/>
      <c r="V816" s="353"/>
      <c r="W816" s="353"/>
      <c r="X816" s="353"/>
      <c r="Y816" s="353"/>
      <c r="Z816" s="353"/>
      <c r="AA816" s="353"/>
      <c r="AB816" s="353"/>
      <c r="AC816" s="353"/>
      <c r="AD816" s="353"/>
      <c r="AE816" s="353"/>
      <c r="AF816" s="353"/>
      <c r="AG816" s="353"/>
      <c r="AH816" s="353"/>
      <c r="AI816" s="353"/>
      <c r="AJ816" s="353"/>
      <c r="AK816" s="353"/>
      <c r="AL816" s="353"/>
      <c r="AM816" s="353"/>
      <c r="AN816" s="353"/>
      <c r="AO816" s="353"/>
      <c r="AP816" s="353"/>
      <c r="AQ816" s="353"/>
      <c r="AR816" s="353"/>
      <c r="AS816" s="353"/>
      <c r="AT816" s="353"/>
      <c r="AU816" s="353"/>
      <c r="AV816" s="353"/>
      <c r="AW816" s="353"/>
      <c r="AX816" s="353"/>
      <c r="AY816" s="353"/>
      <c r="AZ816" s="353"/>
      <c r="BA816" s="353"/>
      <c r="BB816" s="353"/>
      <c r="BC816" s="353"/>
      <c r="BD816" s="353"/>
      <c r="BE816" s="353"/>
      <c r="BF816" s="353"/>
      <c r="BG816" s="353"/>
      <c r="BH816" s="353"/>
      <c r="BI816" s="353"/>
      <c r="BJ816" s="353"/>
      <c r="BK816" s="353"/>
      <c r="BL816" s="353"/>
      <c r="BM816" s="353"/>
      <c r="BN816" s="353"/>
      <c r="BO816" s="353"/>
      <c r="BP816" s="353"/>
      <c r="BQ816" s="353"/>
      <c r="BR816" s="353"/>
      <c r="BS816" s="353"/>
      <c r="BT816" s="353"/>
      <c r="BU816" s="353"/>
      <c r="BV816" s="353"/>
      <c r="BW816" s="353"/>
      <c r="BX816" s="353"/>
      <c r="BY816" s="353"/>
      <c r="BZ816" s="353"/>
      <c r="CA816" s="353"/>
      <c r="CB816" s="353"/>
      <c r="CC816" s="353"/>
      <c r="CD816" s="353"/>
      <c r="CE816" s="353"/>
      <c r="CF816" s="353"/>
      <c r="CG816" s="353"/>
      <c r="CH816" s="353"/>
      <c r="CI816" s="353"/>
      <c r="CJ816" s="353"/>
      <c r="CK816" s="353"/>
      <c r="CL816" s="353"/>
      <c r="CM816" s="353"/>
      <c r="CN816" s="353"/>
      <c r="CO816" s="353"/>
      <c r="CP816" s="353"/>
      <c r="CQ816" s="353"/>
      <c r="CR816" s="353"/>
      <c r="CS816" s="353"/>
      <c r="CT816" s="353"/>
      <c r="CU816" s="353"/>
      <c r="CV816" s="353"/>
      <c r="CW816" s="353"/>
      <c r="CX816" s="353"/>
      <c r="CY816" s="353"/>
      <c r="CZ816" s="353"/>
      <c r="DA816" s="353"/>
      <c r="DB816" s="353"/>
      <c r="DC816" s="353"/>
      <c r="DD816" s="353"/>
      <c r="DE816" s="353"/>
      <c r="DF816" s="353"/>
      <c r="DG816" s="353"/>
      <c r="DH816" s="353"/>
      <c r="DI816" s="353"/>
      <c r="DJ816" s="353"/>
      <c r="DK816" s="353"/>
      <c r="DL816" s="353"/>
      <c r="DM816" s="353"/>
      <c r="DN816" s="353"/>
      <c r="DO816" s="353"/>
      <c r="DP816" s="353"/>
      <c r="DQ816" s="353"/>
      <c r="DR816" s="353"/>
      <c r="DS816" s="353"/>
      <c r="DT816" s="353"/>
      <c r="DU816" s="353"/>
      <c r="DV816" s="353"/>
      <c r="DW816" s="353"/>
      <c r="DX816" s="353"/>
      <c r="DY816" s="353"/>
      <c r="DZ816" s="353"/>
      <c r="EA816" s="353"/>
      <c r="EB816" s="353"/>
      <c r="EC816" s="353"/>
      <c r="ED816" s="353"/>
      <c r="EE816" s="353"/>
      <c r="EF816" s="353"/>
      <c r="EG816" s="353"/>
      <c r="EH816" s="353"/>
      <c r="EI816" s="353"/>
      <c r="EJ816" s="353"/>
      <c r="EK816" s="353"/>
      <c r="EL816" s="353"/>
      <c r="EM816" s="353"/>
      <c r="EN816" s="353"/>
      <c r="EO816" s="353"/>
      <c r="EP816" s="353"/>
      <c r="EQ816" s="353"/>
      <c r="ER816" s="353"/>
      <c r="ES816" s="353"/>
      <c r="ET816" s="353"/>
      <c r="EU816" s="353"/>
      <c r="EV816" s="353"/>
      <c r="EW816" s="353"/>
      <c r="EX816" s="353"/>
      <c r="EY816" s="353"/>
      <c r="EZ816" s="353"/>
      <c r="FA816" s="353"/>
      <c r="FB816" s="353"/>
      <c r="FC816" s="353"/>
      <c r="FD816" s="353"/>
      <c r="FE816" s="353"/>
      <c r="FF816" s="353"/>
      <c r="FG816" s="353"/>
      <c r="FH816" s="353"/>
      <c r="FI816" s="353"/>
      <c r="FJ816" s="353"/>
      <c r="FK816" s="353"/>
      <c r="FL816" s="353"/>
      <c r="FM816" s="353"/>
      <c r="FN816" s="353"/>
      <c r="FO816" s="353"/>
      <c r="FP816" s="353"/>
      <c r="FQ816" s="353"/>
      <c r="FR816" s="353"/>
      <c r="FS816" s="353"/>
      <c r="FT816" s="353"/>
      <c r="FU816" s="353"/>
      <c r="FV816" s="353"/>
      <c r="FW816" s="353"/>
      <c r="FX816" s="353"/>
      <c r="FY816" s="353"/>
      <c r="FZ816" s="353"/>
      <c r="GA816" s="353"/>
      <c r="GB816" s="353"/>
      <c r="GC816" s="353"/>
      <c r="GD816" s="353"/>
      <c r="GE816" s="353"/>
      <c r="GF816" s="353"/>
      <c r="GG816" s="353"/>
      <c r="GH816" s="353"/>
      <c r="GI816" s="353"/>
      <c r="GJ816" s="353"/>
      <c r="GK816" s="353"/>
      <c r="GL816" s="353"/>
      <c r="GM816" s="353"/>
      <c r="GN816" s="353"/>
      <c r="GO816" s="353"/>
      <c r="GP816" s="353"/>
      <c r="GQ816" s="353"/>
      <c r="GR816" s="353"/>
      <c r="GS816" s="353"/>
      <c r="GT816" s="353"/>
      <c r="GU816" s="353"/>
      <c r="GV816" s="353"/>
      <c r="GW816" s="353"/>
      <c r="GX816" s="353"/>
      <c r="GY816" s="353"/>
      <c r="GZ816" s="353"/>
      <c r="HA816" s="353"/>
      <c r="HB816" s="353"/>
      <c r="HC816" s="353"/>
      <c r="HD816" s="353"/>
      <c r="HE816" s="353"/>
      <c r="HF816" s="353"/>
      <c r="HG816" s="353"/>
      <c r="HH816" s="353"/>
      <c r="HI816" s="353"/>
      <c r="HJ816" s="353"/>
      <c r="HK816" s="353"/>
      <c r="HL816" s="353"/>
      <c r="HM816" s="353"/>
      <c r="HN816" s="353"/>
      <c r="HO816" s="353"/>
      <c r="HP816" s="353"/>
      <c r="HQ816" s="353"/>
      <c r="HR816" s="353"/>
    </row>
    <row r="817" spans="1:226" s="354" customFormat="1" ht="15" hidden="1" customHeight="1">
      <c r="A817" s="1557"/>
      <c r="B817" s="1560"/>
      <c r="C817" s="1563"/>
      <c r="D817" s="1566"/>
      <c r="E817" s="358" t="s">
        <v>471</v>
      </c>
      <c r="F817" s="359">
        <f t="shared" ref="F817:F822" si="66">SUM(G817:J817)</f>
        <v>0</v>
      </c>
      <c r="G817" s="359"/>
      <c r="H817" s="359"/>
      <c r="I817" s="359"/>
      <c r="J817" s="360"/>
      <c r="K817" s="353"/>
    </row>
    <row r="818" spans="1:226" s="354" customFormat="1" ht="15" customHeight="1">
      <c r="A818" s="1557"/>
      <c r="B818" s="1560"/>
      <c r="C818" s="1563"/>
      <c r="D818" s="1566"/>
      <c r="E818" s="411">
        <v>6057</v>
      </c>
      <c r="F818" s="412">
        <f t="shared" si="66"/>
        <v>5525000</v>
      </c>
      <c r="G818" s="412"/>
      <c r="H818" s="412">
        <v>5525000</v>
      </c>
      <c r="I818" s="412"/>
      <c r="J818" s="413"/>
      <c r="K818" s="353"/>
    </row>
    <row r="819" spans="1:226" s="354" customFormat="1" ht="15" customHeight="1">
      <c r="A819" s="1557"/>
      <c r="B819" s="1560"/>
      <c r="C819" s="1563"/>
      <c r="D819" s="1566"/>
      <c r="E819" s="411">
        <v>6059</v>
      </c>
      <c r="F819" s="412">
        <f t="shared" si="66"/>
        <v>975000</v>
      </c>
      <c r="G819" s="412">
        <v>975000</v>
      </c>
      <c r="H819" s="412"/>
      <c r="I819" s="412"/>
      <c r="J819" s="413"/>
      <c r="K819" s="353"/>
    </row>
    <row r="820" spans="1:226" s="354" customFormat="1" ht="15" hidden="1" customHeight="1">
      <c r="A820" s="1557"/>
      <c r="B820" s="1560"/>
      <c r="C820" s="1563"/>
      <c r="D820" s="1566"/>
      <c r="E820" s="411">
        <v>6060</v>
      </c>
      <c r="F820" s="412">
        <f t="shared" si="66"/>
        <v>0</v>
      </c>
      <c r="G820" s="412"/>
      <c r="H820" s="412"/>
      <c r="I820" s="412"/>
      <c r="J820" s="413"/>
      <c r="K820" s="353"/>
    </row>
    <row r="821" spans="1:226" s="354" customFormat="1" ht="15" hidden="1" customHeight="1">
      <c r="A821" s="1557"/>
      <c r="B821" s="1560"/>
      <c r="C821" s="1563"/>
      <c r="D821" s="1566"/>
      <c r="E821" s="363" t="s">
        <v>408</v>
      </c>
      <c r="F821" s="412">
        <f t="shared" si="66"/>
        <v>0</v>
      </c>
      <c r="G821" s="412"/>
      <c r="H821" s="412"/>
      <c r="I821" s="412"/>
      <c r="J821" s="413"/>
      <c r="K821" s="353"/>
    </row>
    <row r="822" spans="1:226" s="354" customFormat="1" ht="15" hidden="1" customHeight="1">
      <c r="A822" s="1558"/>
      <c r="B822" s="1561"/>
      <c r="C822" s="1564"/>
      <c r="D822" s="1567"/>
      <c r="E822" s="411">
        <v>6069</v>
      </c>
      <c r="F822" s="412">
        <f t="shared" si="66"/>
        <v>0</v>
      </c>
      <c r="G822" s="412"/>
      <c r="H822" s="412"/>
      <c r="I822" s="412"/>
      <c r="J822" s="413"/>
      <c r="K822" s="353"/>
    </row>
    <row r="823" spans="1:226" s="354" customFormat="1" ht="24.95" customHeight="1">
      <c r="A823" s="1556" t="s">
        <v>445</v>
      </c>
      <c r="B823" s="1559" t="s">
        <v>491</v>
      </c>
      <c r="C823" s="1562">
        <v>600</v>
      </c>
      <c r="D823" s="1565" t="s">
        <v>470</v>
      </c>
      <c r="E823" s="350" t="s">
        <v>315</v>
      </c>
      <c r="F823" s="351">
        <f>SUM(F824,F831)</f>
        <v>4500000</v>
      </c>
      <c r="G823" s="351">
        <f>SUM(G824,G831)</f>
        <v>675000</v>
      </c>
      <c r="H823" s="351">
        <f>SUM(H824,H831)</f>
        <v>3825000</v>
      </c>
      <c r="I823" s="351">
        <f>SUM(I824,I831)</f>
        <v>0</v>
      </c>
      <c r="J823" s="352">
        <f>SUM(J824,J831)</f>
        <v>0</v>
      </c>
      <c r="K823" s="353"/>
    </row>
    <row r="824" spans="1:226" s="354" customFormat="1" ht="24.95" customHeight="1">
      <c r="A824" s="1557"/>
      <c r="B824" s="1560"/>
      <c r="C824" s="1563"/>
      <c r="D824" s="1566"/>
      <c r="E824" s="355" t="s">
        <v>316</v>
      </c>
      <c r="F824" s="356">
        <f>SUM(F825,F828)</f>
        <v>0</v>
      </c>
      <c r="G824" s="356">
        <f>SUM(G825,G828)</f>
        <v>0</v>
      </c>
      <c r="H824" s="356">
        <f>SUM(H825,H828)</f>
        <v>0</v>
      </c>
      <c r="I824" s="356">
        <f>SUM(I825,I828)</f>
        <v>0</v>
      </c>
      <c r="J824" s="357">
        <f>SUM(J825,J828)</f>
        <v>0</v>
      </c>
      <c r="K824" s="353"/>
    </row>
    <row r="825" spans="1:226" s="354" customFormat="1" ht="24.95" hidden="1" customHeight="1">
      <c r="A825" s="1557"/>
      <c r="B825" s="1560"/>
      <c r="C825" s="1563"/>
      <c r="D825" s="1566"/>
      <c r="E825" s="393" t="s">
        <v>333</v>
      </c>
      <c r="F825" s="394">
        <f>SUM(F826:F827)</f>
        <v>0</v>
      </c>
      <c r="G825" s="394">
        <f>SUM(G826:G827)</f>
        <v>0</v>
      </c>
      <c r="H825" s="394">
        <f>SUM(H826:H827)</f>
        <v>0</v>
      </c>
      <c r="I825" s="394">
        <f>SUM(I826:I827)</f>
        <v>0</v>
      </c>
      <c r="J825" s="395">
        <f>SUM(J826:J827)</f>
        <v>0</v>
      </c>
      <c r="K825" s="353"/>
    </row>
    <row r="826" spans="1:226" s="354" customFormat="1" ht="15" hidden="1" customHeight="1">
      <c r="A826" s="1557"/>
      <c r="B826" s="1560"/>
      <c r="C826" s="1563"/>
      <c r="D826" s="1566"/>
      <c r="E826" s="358"/>
      <c r="F826" s="359">
        <f>SUM(G826:J826)</f>
        <v>0</v>
      </c>
      <c r="G826" s="359"/>
      <c r="H826" s="359"/>
      <c r="I826" s="359"/>
      <c r="J826" s="360"/>
      <c r="K826" s="353"/>
    </row>
    <row r="827" spans="1:226" s="354" customFormat="1" ht="15" hidden="1" customHeight="1">
      <c r="A827" s="1557"/>
      <c r="B827" s="1560"/>
      <c r="C827" s="1563"/>
      <c r="D827" s="1566"/>
      <c r="E827" s="358"/>
      <c r="F827" s="359">
        <f>SUM(G827:J827)</f>
        <v>0</v>
      </c>
      <c r="G827" s="359"/>
      <c r="H827" s="359"/>
      <c r="I827" s="359"/>
      <c r="J827" s="360"/>
      <c r="K827" s="353"/>
    </row>
    <row r="828" spans="1:226" s="354" customFormat="1" ht="24.95" hidden="1" customHeight="1">
      <c r="A828" s="1557"/>
      <c r="B828" s="1560"/>
      <c r="C828" s="1563"/>
      <c r="D828" s="1566"/>
      <c r="E828" s="393" t="s">
        <v>338</v>
      </c>
      <c r="F828" s="394">
        <f>SUM(F829:F830)</f>
        <v>0</v>
      </c>
      <c r="G828" s="394">
        <f>SUM(G829:G830)</f>
        <v>0</v>
      </c>
      <c r="H828" s="394">
        <f>SUM(H829:H830)</f>
        <v>0</v>
      </c>
      <c r="I828" s="394">
        <f>SUM(I829:I830)</f>
        <v>0</v>
      </c>
      <c r="J828" s="395">
        <f>SUM(J829:J830)</f>
        <v>0</v>
      </c>
      <c r="K828" s="353"/>
    </row>
    <row r="829" spans="1:226" s="354" customFormat="1" ht="15" hidden="1" customHeight="1">
      <c r="A829" s="1557"/>
      <c r="B829" s="1560"/>
      <c r="C829" s="1563"/>
      <c r="D829" s="1566"/>
      <c r="E829" s="358"/>
      <c r="F829" s="359">
        <f>SUM(G829:J829)</f>
        <v>0</v>
      </c>
      <c r="G829" s="359"/>
      <c r="H829" s="359"/>
      <c r="I829" s="359"/>
      <c r="J829" s="360"/>
      <c r="K829" s="353"/>
    </row>
    <row r="830" spans="1:226" s="354" customFormat="1" ht="15" hidden="1" customHeight="1">
      <c r="A830" s="1557"/>
      <c r="B830" s="1560"/>
      <c r="C830" s="1563"/>
      <c r="D830" s="1566"/>
      <c r="E830" s="358"/>
      <c r="F830" s="359">
        <f>SUM(G830:J830)</f>
        <v>0</v>
      </c>
      <c r="G830" s="359"/>
      <c r="H830" s="359"/>
      <c r="I830" s="359"/>
      <c r="J830" s="360"/>
      <c r="K830" s="353"/>
    </row>
    <row r="831" spans="1:226" s="354" customFormat="1" ht="24.95" customHeight="1">
      <c r="A831" s="1557"/>
      <c r="B831" s="1560"/>
      <c r="C831" s="1563"/>
      <c r="D831" s="1566"/>
      <c r="E831" s="361" t="s">
        <v>318</v>
      </c>
      <c r="F831" s="356">
        <f>SUM(F832:F837)</f>
        <v>4500000</v>
      </c>
      <c r="G831" s="356">
        <f>SUM(G832:G837)</f>
        <v>675000</v>
      </c>
      <c r="H831" s="356">
        <f>SUM(H832:H837)</f>
        <v>3825000</v>
      </c>
      <c r="I831" s="356">
        <f>SUM(I832:I837)</f>
        <v>0</v>
      </c>
      <c r="J831" s="357">
        <f>SUM(J832:J837)</f>
        <v>0</v>
      </c>
      <c r="K831" s="353"/>
      <c r="L831" s="353"/>
      <c r="M831" s="353"/>
      <c r="N831" s="353"/>
      <c r="O831" s="353"/>
      <c r="P831" s="353"/>
      <c r="Q831" s="353"/>
      <c r="R831" s="353"/>
      <c r="S831" s="353"/>
      <c r="T831" s="353"/>
      <c r="U831" s="353"/>
      <c r="V831" s="353"/>
      <c r="W831" s="353"/>
      <c r="X831" s="353"/>
      <c r="Y831" s="353"/>
      <c r="Z831" s="353"/>
      <c r="AA831" s="353"/>
      <c r="AB831" s="353"/>
      <c r="AC831" s="353"/>
      <c r="AD831" s="353"/>
      <c r="AE831" s="353"/>
      <c r="AF831" s="353"/>
      <c r="AG831" s="353"/>
      <c r="AH831" s="353"/>
      <c r="AI831" s="353"/>
      <c r="AJ831" s="353"/>
      <c r="AK831" s="353"/>
      <c r="AL831" s="353"/>
      <c r="AM831" s="353"/>
      <c r="AN831" s="353"/>
      <c r="AO831" s="353"/>
      <c r="AP831" s="353"/>
      <c r="AQ831" s="353"/>
      <c r="AR831" s="353"/>
      <c r="AS831" s="353"/>
      <c r="AT831" s="353"/>
      <c r="AU831" s="353"/>
      <c r="AV831" s="353"/>
      <c r="AW831" s="353"/>
      <c r="AX831" s="353"/>
      <c r="AY831" s="353"/>
      <c r="AZ831" s="353"/>
      <c r="BA831" s="353"/>
      <c r="BB831" s="353"/>
      <c r="BC831" s="353"/>
      <c r="BD831" s="353"/>
      <c r="BE831" s="353"/>
      <c r="BF831" s="353"/>
      <c r="BG831" s="353"/>
      <c r="BH831" s="353"/>
      <c r="BI831" s="353"/>
      <c r="BJ831" s="353"/>
      <c r="BK831" s="353"/>
      <c r="BL831" s="353"/>
      <c r="BM831" s="353"/>
      <c r="BN831" s="353"/>
      <c r="BO831" s="353"/>
      <c r="BP831" s="353"/>
      <c r="BQ831" s="353"/>
      <c r="BR831" s="353"/>
      <c r="BS831" s="353"/>
      <c r="BT831" s="353"/>
      <c r="BU831" s="353"/>
      <c r="BV831" s="353"/>
      <c r="BW831" s="353"/>
      <c r="BX831" s="353"/>
      <c r="BY831" s="353"/>
      <c r="BZ831" s="353"/>
      <c r="CA831" s="353"/>
      <c r="CB831" s="353"/>
      <c r="CC831" s="353"/>
      <c r="CD831" s="353"/>
      <c r="CE831" s="353"/>
      <c r="CF831" s="353"/>
      <c r="CG831" s="353"/>
      <c r="CH831" s="353"/>
      <c r="CI831" s="353"/>
      <c r="CJ831" s="353"/>
      <c r="CK831" s="353"/>
      <c r="CL831" s="353"/>
      <c r="CM831" s="353"/>
      <c r="CN831" s="353"/>
      <c r="CO831" s="353"/>
      <c r="CP831" s="353"/>
      <c r="CQ831" s="353"/>
      <c r="CR831" s="353"/>
      <c r="CS831" s="353"/>
      <c r="CT831" s="353"/>
      <c r="CU831" s="353"/>
      <c r="CV831" s="353"/>
      <c r="CW831" s="353"/>
      <c r="CX831" s="353"/>
      <c r="CY831" s="353"/>
      <c r="CZ831" s="353"/>
      <c r="DA831" s="353"/>
      <c r="DB831" s="353"/>
      <c r="DC831" s="353"/>
      <c r="DD831" s="353"/>
      <c r="DE831" s="353"/>
      <c r="DF831" s="353"/>
      <c r="DG831" s="353"/>
      <c r="DH831" s="353"/>
      <c r="DI831" s="353"/>
      <c r="DJ831" s="353"/>
      <c r="DK831" s="353"/>
      <c r="DL831" s="353"/>
      <c r="DM831" s="353"/>
      <c r="DN831" s="353"/>
      <c r="DO831" s="353"/>
      <c r="DP831" s="353"/>
      <c r="DQ831" s="353"/>
      <c r="DR831" s="353"/>
      <c r="DS831" s="353"/>
      <c r="DT831" s="353"/>
      <c r="DU831" s="353"/>
      <c r="DV831" s="353"/>
      <c r="DW831" s="353"/>
      <c r="DX831" s="353"/>
      <c r="DY831" s="353"/>
      <c r="DZ831" s="353"/>
      <c r="EA831" s="353"/>
      <c r="EB831" s="353"/>
      <c r="EC831" s="353"/>
      <c r="ED831" s="353"/>
      <c r="EE831" s="353"/>
      <c r="EF831" s="353"/>
      <c r="EG831" s="353"/>
      <c r="EH831" s="353"/>
      <c r="EI831" s="353"/>
      <c r="EJ831" s="353"/>
      <c r="EK831" s="353"/>
      <c r="EL831" s="353"/>
      <c r="EM831" s="353"/>
      <c r="EN831" s="353"/>
      <c r="EO831" s="353"/>
      <c r="EP831" s="353"/>
      <c r="EQ831" s="353"/>
      <c r="ER831" s="353"/>
      <c r="ES831" s="353"/>
      <c r="ET831" s="353"/>
      <c r="EU831" s="353"/>
      <c r="EV831" s="353"/>
      <c r="EW831" s="353"/>
      <c r="EX831" s="353"/>
      <c r="EY831" s="353"/>
      <c r="EZ831" s="353"/>
      <c r="FA831" s="353"/>
      <c r="FB831" s="353"/>
      <c r="FC831" s="353"/>
      <c r="FD831" s="353"/>
      <c r="FE831" s="353"/>
      <c r="FF831" s="353"/>
      <c r="FG831" s="353"/>
      <c r="FH831" s="353"/>
      <c r="FI831" s="353"/>
      <c r="FJ831" s="353"/>
      <c r="FK831" s="353"/>
      <c r="FL831" s="353"/>
      <c r="FM831" s="353"/>
      <c r="FN831" s="353"/>
      <c r="FO831" s="353"/>
      <c r="FP831" s="353"/>
      <c r="FQ831" s="353"/>
      <c r="FR831" s="353"/>
      <c r="FS831" s="353"/>
      <c r="FT831" s="353"/>
      <c r="FU831" s="353"/>
      <c r="FV831" s="353"/>
      <c r="FW831" s="353"/>
      <c r="FX831" s="353"/>
      <c r="FY831" s="353"/>
      <c r="FZ831" s="353"/>
      <c r="GA831" s="353"/>
      <c r="GB831" s="353"/>
      <c r="GC831" s="353"/>
      <c r="GD831" s="353"/>
      <c r="GE831" s="353"/>
      <c r="GF831" s="353"/>
      <c r="GG831" s="353"/>
      <c r="GH831" s="353"/>
      <c r="GI831" s="353"/>
      <c r="GJ831" s="353"/>
      <c r="GK831" s="353"/>
      <c r="GL831" s="353"/>
      <c r="GM831" s="353"/>
      <c r="GN831" s="353"/>
      <c r="GO831" s="353"/>
      <c r="GP831" s="353"/>
      <c r="GQ831" s="353"/>
      <c r="GR831" s="353"/>
      <c r="GS831" s="353"/>
      <c r="GT831" s="353"/>
      <c r="GU831" s="353"/>
      <c r="GV831" s="353"/>
      <c r="GW831" s="353"/>
      <c r="GX831" s="353"/>
      <c r="GY831" s="353"/>
      <c r="GZ831" s="353"/>
      <c r="HA831" s="353"/>
      <c r="HB831" s="353"/>
      <c r="HC831" s="353"/>
      <c r="HD831" s="353"/>
      <c r="HE831" s="353"/>
      <c r="HF831" s="353"/>
      <c r="HG831" s="353"/>
      <c r="HH831" s="353"/>
      <c r="HI831" s="353"/>
      <c r="HJ831" s="353"/>
      <c r="HK831" s="353"/>
      <c r="HL831" s="353"/>
      <c r="HM831" s="353"/>
      <c r="HN831" s="353"/>
      <c r="HO831" s="353"/>
      <c r="HP831" s="353"/>
      <c r="HQ831" s="353"/>
      <c r="HR831" s="353"/>
    </row>
    <row r="832" spans="1:226" s="354" customFormat="1" ht="15" hidden="1" customHeight="1">
      <c r="A832" s="1557"/>
      <c r="B832" s="1560"/>
      <c r="C832" s="1563"/>
      <c r="D832" s="1566"/>
      <c r="E832" s="358" t="s">
        <v>471</v>
      </c>
      <c r="F832" s="359">
        <f t="shared" ref="F832:F837" si="67">SUM(G832:J832)</f>
        <v>0</v>
      </c>
      <c r="G832" s="359"/>
      <c r="H832" s="359"/>
      <c r="I832" s="359"/>
      <c r="J832" s="360"/>
      <c r="K832" s="353"/>
    </row>
    <row r="833" spans="1:226" s="354" customFormat="1" ht="15" customHeight="1">
      <c r="A833" s="1557"/>
      <c r="B833" s="1560"/>
      <c r="C833" s="1563"/>
      <c r="D833" s="1566"/>
      <c r="E833" s="411">
        <v>6057</v>
      </c>
      <c r="F833" s="412">
        <f t="shared" si="67"/>
        <v>3825000</v>
      </c>
      <c r="G833" s="412"/>
      <c r="H833" s="412">
        <v>3825000</v>
      </c>
      <c r="I833" s="412"/>
      <c r="J833" s="413"/>
      <c r="K833" s="353"/>
    </row>
    <row r="834" spans="1:226" s="354" customFormat="1" ht="15" customHeight="1">
      <c r="A834" s="1557"/>
      <c r="B834" s="1560"/>
      <c r="C834" s="1563"/>
      <c r="D834" s="1566"/>
      <c r="E834" s="411">
        <v>6059</v>
      </c>
      <c r="F834" s="412">
        <f t="shared" si="67"/>
        <v>675000</v>
      </c>
      <c r="G834" s="412">
        <v>675000</v>
      </c>
      <c r="H834" s="412"/>
      <c r="I834" s="412"/>
      <c r="J834" s="413"/>
      <c r="K834" s="353"/>
    </row>
    <row r="835" spans="1:226" s="354" customFormat="1" ht="15" hidden="1" customHeight="1">
      <c r="A835" s="1557"/>
      <c r="B835" s="1560"/>
      <c r="C835" s="1563"/>
      <c r="D835" s="1566"/>
      <c r="E835" s="411">
        <v>6060</v>
      </c>
      <c r="F835" s="412">
        <f t="shared" si="67"/>
        <v>0</v>
      </c>
      <c r="G835" s="412"/>
      <c r="H835" s="412"/>
      <c r="I835" s="412"/>
      <c r="J835" s="413"/>
      <c r="K835" s="353"/>
    </row>
    <row r="836" spans="1:226" s="354" customFormat="1" ht="15" hidden="1" customHeight="1">
      <c r="A836" s="1557"/>
      <c r="B836" s="1560"/>
      <c r="C836" s="1563"/>
      <c r="D836" s="1566"/>
      <c r="E836" s="363" t="s">
        <v>408</v>
      </c>
      <c r="F836" s="412">
        <f t="shared" si="67"/>
        <v>0</v>
      </c>
      <c r="G836" s="412"/>
      <c r="H836" s="412"/>
      <c r="I836" s="412"/>
      <c r="J836" s="413"/>
      <c r="K836" s="353"/>
    </row>
    <row r="837" spans="1:226" s="354" customFormat="1" ht="15" hidden="1" customHeight="1">
      <c r="A837" s="1558"/>
      <c r="B837" s="1561"/>
      <c r="C837" s="1564"/>
      <c r="D837" s="1567"/>
      <c r="E837" s="411">
        <v>6069</v>
      </c>
      <c r="F837" s="412">
        <f t="shared" si="67"/>
        <v>0</v>
      </c>
      <c r="G837" s="412"/>
      <c r="H837" s="412"/>
      <c r="I837" s="412"/>
      <c r="J837" s="413"/>
      <c r="K837" s="353"/>
    </row>
    <row r="838" spans="1:226" s="354" customFormat="1" ht="24.95" customHeight="1">
      <c r="A838" s="1556" t="s">
        <v>449</v>
      </c>
      <c r="B838" s="1559" t="s">
        <v>492</v>
      </c>
      <c r="C838" s="1562">
        <v>600</v>
      </c>
      <c r="D838" s="1565" t="s">
        <v>470</v>
      </c>
      <c r="E838" s="350" t="s">
        <v>315</v>
      </c>
      <c r="F838" s="351">
        <f>SUM(F839,F846)</f>
        <v>33608783</v>
      </c>
      <c r="G838" s="351">
        <f>SUM(G839,G846)</f>
        <v>7743606</v>
      </c>
      <c r="H838" s="351">
        <f>SUM(H839,H846)</f>
        <v>25865177</v>
      </c>
      <c r="I838" s="351">
        <f>SUM(I839,I846)</f>
        <v>0</v>
      </c>
      <c r="J838" s="352">
        <f>SUM(J839,J846)</f>
        <v>0</v>
      </c>
      <c r="K838" s="353"/>
    </row>
    <row r="839" spans="1:226" s="354" customFormat="1" ht="24.95" customHeight="1">
      <c r="A839" s="1557"/>
      <c r="B839" s="1560"/>
      <c r="C839" s="1563"/>
      <c r="D839" s="1566"/>
      <c r="E839" s="355" t="s">
        <v>316</v>
      </c>
      <c r="F839" s="356">
        <f>SUM(F840,F843)</f>
        <v>0</v>
      </c>
      <c r="G839" s="356">
        <f>SUM(G840,G843)</f>
        <v>0</v>
      </c>
      <c r="H839" s="356">
        <f>SUM(H840,H843)</f>
        <v>0</v>
      </c>
      <c r="I839" s="356">
        <f>SUM(I840,I843)</f>
        <v>0</v>
      </c>
      <c r="J839" s="357">
        <f>SUM(J840,J843)</f>
        <v>0</v>
      </c>
      <c r="K839" s="353"/>
    </row>
    <row r="840" spans="1:226" s="354" customFormat="1" ht="24.95" hidden="1" customHeight="1">
      <c r="A840" s="1557"/>
      <c r="B840" s="1560"/>
      <c r="C840" s="1563"/>
      <c r="D840" s="1566"/>
      <c r="E840" s="393" t="s">
        <v>333</v>
      </c>
      <c r="F840" s="394">
        <f>SUM(F841:F842)</f>
        <v>0</v>
      </c>
      <c r="G840" s="394">
        <f>SUM(G841:G842)</f>
        <v>0</v>
      </c>
      <c r="H840" s="394">
        <f>SUM(H841:H842)</f>
        <v>0</v>
      </c>
      <c r="I840" s="394">
        <f>SUM(I841:I842)</f>
        <v>0</v>
      </c>
      <c r="J840" s="395">
        <f>SUM(J841:J842)</f>
        <v>0</v>
      </c>
      <c r="K840" s="353"/>
    </row>
    <row r="841" spans="1:226" s="354" customFormat="1" ht="15" hidden="1" customHeight="1">
      <c r="A841" s="1557"/>
      <c r="B841" s="1560"/>
      <c r="C841" s="1563"/>
      <c r="D841" s="1566"/>
      <c r="E841" s="358"/>
      <c r="F841" s="359">
        <f>SUM(G841:J841)</f>
        <v>0</v>
      </c>
      <c r="G841" s="359"/>
      <c r="H841" s="359"/>
      <c r="I841" s="359"/>
      <c r="J841" s="360"/>
      <c r="K841" s="353"/>
    </row>
    <row r="842" spans="1:226" s="354" customFormat="1" ht="15" hidden="1" customHeight="1">
      <c r="A842" s="1557"/>
      <c r="B842" s="1560"/>
      <c r="C842" s="1563"/>
      <c r="D842" s="1566"/>
      <c r="E842" s="358"/>
      <c r="F842" s="359">
        <f>SUM(G842:J842)</f>
        <v>0</v>
      </c>
      <c r="G842" s="359"/>
      <c r="H842" s="359"/>
      <c r="I842" s="359"/>
      <c r="J842" s="360"/>
      <c r="K842" s="353"/>
    </row>
    <row r="843" spans="1:226" s="354" customFormat="1" ht="24.95" hidden="1" customHeight="1">
      <c r="A843" s="1557"/>
      <c r="B843" s="1560"/>
      <c r="C843" s="1563"/>
      <c r="D843" s="1566"/>
      <c r="E843" s="393" t="s">
        <v>338</v>
      </c>
      <c r="F843" s="394">
        <f>SUM(F844:F845)</f>
        <v>0</v>
      </c>
      <c r="G843" s="394">
        <f>SUM(G844:G845)</f>
        <v>0</v>
      </c>
      <c r="H843" s="394">
        <f>SUM(H844:H845)</f>
        <v>0</v>
      </c>
      <c r="I843" s="394">
        <f>SUM(I844:I845)</f>
        <v>0</v>
      </c>
      <c r="J843" s="395">
        <f>SUM(J844:J845)</f>
        <v>0</v>
      </c>
      <c r="K843" s="353"/>
    </row>
    <row r="844" spans="1:226" s="354" customFormat="1" ht="15" hidden="1" customHeight="1">
      <c r="A844" s="1557"/>
      <c r="B844" s="1560"/>
      <c r="C844" s="1563"/>
      <c r="D844" s="1566"/>
      <c r="E844" s="358"/>
      <c r="F844" s="359">
        <f>SUM(G844:J844)</f>
        <v>0</v>
      </c>
      <c r="G844" s="359"/>
      <c r="H844" s="359"/>
      <c r="I844" s="359"/>
      <c r="J844" s="360"/>
      <c r="K844" s="353"/>
    </row>
    <row r="845" spans="1:226" s="354" customFormat="1" ht="15" hidden="1" customHeight="1">
      <c r="A845" s="1557"/>
      <c r="B845" s="1560"/>
      <c r="C845" s="1563"/>
      <c r="D845" s="1566"/>
      <c r="E845" s="358"/>
      <c r="F845" s="359">
        <f>SUM(G845:J845)</f>
        <v>0</v>
      </c>
      <c r="G845" s="359"/>
      <c r="H845" s="359"/>
      <c r="I845" s="359"/>
      <c r="J845" s="360"/>
      <c r="K845" s="353"/>
    </row>
    <row r="846" spans="1:226" s="354" customFormat="1" ht="24.95" customHeight="1">
      <c r="A846" s="1557"/>
      <c r="B846" s="1560"/>
      <c r="C846" s="1563"/>
      <c r="D846" s="1566"/>
      <c r="E846" s="361" t="s">
        <v>318</v>
      </c>
      <c r="F846" s="356">
        <f>SUM(F847:F852)</f>
        <v>33608783</v>
      </c>
      <c r="G846" s="356">
        <f>SUM(G847:G852)</f>
        <v>7743606</v>
      </c>
      <c r="H846" s="356">
        <f>SUM(H847:H852)</f>
        <v>25865177</v>
      </c>
      <c r="I846" s="356">
        <f>SUM(I847:I852)</f>
        <v>0</v>
      </c>
      <c r="J846" s="357">
        <f>SUM(J847:J852)</f>
        <v>0</v>
      </c>
      <c r="K846" s="353"/>
      <c r="L846" s="353"/>
      <c r="M846" s="353"/>
      <c r="N846" s="353"/>
      <c r="O846" s="353"/>
      <c r="P846" s="353"/>
      <c r="Q846" s="353"/>
      <c r="R846" s="353"/>
      <c r="S846" s="353"/>
      <c r="T846" s="353"/>
      <c r="U846" s="353"/>
      <c r="V846" s="353"/>
      <c r="W846" s="353"/>
      <c r="X846" s="353"/>
      <c r="Y846" s="353"/>
      <c r="Z846" s="353"/>
      <c r="AA846" s="353"/>
      <c r="AB846" s="353"/>
      <c r="AC846" s="353"/>
      <c r="AD846" s="353"/>
      <c r="AE846" s="353"/>
      <c r="AF846" s="353"/>
      <c r="AG846" s="353"/>
      <c r="AH846" s="353"/>
      <c r="AI846" s="353"/>
      <c r="AJ846" s="353"/>
      <c r="AK846" s="353"/>
      <c r="AL846" s="353"/>
      <c r="AM846" s="353"/>
      <c r="AN846" s="353"/>
      <c r="AO846" s="353"/>
      <c r="AP846" s="353"/>
      <c r="AQ846" s="353"/>
      <c r="AR846" s="353"/>
      <c r="AS846" s="353"/>
      <c r="AT846" s="353"/>
      <c r="AU846" s="353"/>
      <c r="AV846" s="353"/>
      <c r="AW846" s="353"/>
      <c r="AX846" s="353"/>
      <c r="AY846" s="353"/>
      <c r="AZ846" s="353"/>
      <c r="BA846" s="353"/>
      <c r="BB846" s="353"/>
      <c r="BC846" s="353"/>
      <c r="BD846" s="353"/>
      <c r="BE846" s="353"/>
      <c r="BF846" s="353"/>
      <c r="BG846" s="353"/>
      <c r="BH846" s="353"/>
      <c r="BI846" s="353"/>
      <c r="BJ846" s="353"/>
      <c r="BK846" s="353"/>
      <c r="BL846" s="353"/>
      <c r="BM846" s="353"/>
      <c r="BN846" s="353"/>
      <c r="BO846" s="353"/>
      <c r="BP846" s="353"/>
      <c r="BQ846" s="353"/>
      <c r="BR846" s="353"/>
      <c r="BS846" s="353"/>
      <c r="BT846" s="353"/>
      <c r="BU846" s="353"/>
      <c r="BV846" s="353"/>
      <c r="BW846" s="353"/>
      <c r="BX846" s="353"/>
      <c r="BY846" s="353"/>
      <c r="BZ846" s="353"/>
      <c r="CA846" s="353"/>
      <c r="CB846" s="353"/>
      <c r="CC846" s="353"/>
      <c r="CD846" s="353"/>
      <c r="CE846" s="353"/>
      <c r="CF846" s="353"/>
      <c r="CG846" s="353"/>
      <c r="CH846" s="353"/>
      <c r="CI846" s="353"/>
      <c r="CJ846" s="353"/>
      <c r="CK846" s="353"/>
      <c r="CL846" s="353"/>
      <c r="CM846" s="353"/>
      <c r="CN846" s="353"/>
      <c r="CO846" s="353"/>
      <c r="CP846" s="353"/>
      <c r="CQ846" s="353"/>
      <c r="CR846" s="353"/>
      <c r="CS846" s="353"/>
      <c r="CT846" s="353"/>
      <c r="CU846" s="353"/>
      <c r="CV846" s="353"/>
      <c r="CW846" s="353"/>
      <c r="CX846" s="353"/>
      <c r="CY846" s="353"/>
      <c r="CZ846" s="353"/>
      <c r="DA846" s="353"/>
      <c r="DB846" s="353"/>
      <c r="DC846" s="353"/>
      <c r="DD846" s="353"/>
      <c r="DE846" s="353"/>
      <c r="DF846" s="353"/>
      <c r="DG846" s="353"/>
      <c r="DH846" s="353"/>
      <c r="DI846" s="353"/>
      <c r="DJ846" s="353"/>
      <c r="DK846" s="353"/>
      <c r="DL846" s="353"/>
      <c r="DM846" s="353"/>
      <c r="DN846" s="353"/>
      <c r="DO846" s="353"/>
      <c r="DP846" s="353"/>
      <c r="DQ846" s="353"/>
      <c r="DR846" s="353"/>
      <c r="DS846" s="353"/>
      <c r="DT846" s="353"/>
      <c r="DU846" s="353"/>
      <c r="DV846" s="353"/>
      <c r="DW846" s="353"/>
      <c r="DX846" s="353"/>
      <c r="DY846" s="353"/>
      <c r="DZ846" s="353"/>
      <c r="EA846" s="353"/>
      <c r="EB846" s="353"/>
      <c r="EC846" s="353"/>
      <c r="ED846" s="353"/>
      <c r="EE846" s="353"/>
      <c r="EF846" s="353"/>
      <c r="EG846" s="353"/>
      <c r="EH846" s="353"/>
      <c r="EI846" s="353"/>
      <c r="EJ846" s="353"/>
      <c r="EK846" s="353"/>
      <c r="EL846" s="353"/>
      <c r="EM846" s="353"/>
      <c r="EN846" s="353"/>
      <c r="EO846" s="353"/>
      <c r="EP846" s="353"/>
      <c r="EQ846" s="353"/>
      <c r="ER846" s="353"/>
      <c r="ES846" s="353"/>
      <c r="ET846" s="353"/>
      <c r="EU846" s="353"/>
      <c r="EV846" s="353"/>
      <c r="EW846" s="353"/>
      <c r="EX846" s="353"/>
      <c r="EY846" s="353"/>
      <c r="EZ846" s="353"/>
      <c r="FA846" s="353"/>
      <c r="FB846" s="353"/>
      <c r="FC846" s="353"/>
      <c r="FD846" s="353"/>
      <c r="FE846" s="353"/>
      <c r="FF846" s="353"/>
      <c r="FG846" s="353"/>
      <c r="FH846" s="353"/>
      <c r="FI846" s="353"/>
      <c r="FJ846" s="353"/>
      <c r="FK846" s="353"/>
      <c r="FL846" s="353"/>
      <c r="FM846" s="353"/>
      <c r="FN846" s="353"/>
      <c r="FO846" s="353"/>
      <c r="FP846" s="353"/>
      <c r="FQ846" s="353"/>
      <c r="FR846" s="353"/>
      <c r="FS846" s="353"/>
      <c r="FT846" s="353"/>
      <c r="FU846" s="353"/>
      <c r="FV846" s="353"/>
      <c r="FW846" s="353"/>
      <c r="FX846" s="353"/>
      <c r="FY846" s="353"/>
      <c r="FZ846" s="353"/>
      <c r="GA846" s="353"/>
      <c r="GB846" s="353"/>
      <c r="GC846" s="353"/>
      <c r="GD846" s="353"/>
      <c r="GE846" s="353"/>
      <c r="GF846" s="353"/>
      <c r="GG846" s="353"/>
      <c r="GH846" s="353"/>
      <c r="GI846" s="353"/>
      <c r="GJ846" s="353"/>
      <c r="GK846" s="353"/>
      <c r="GL846" s="353"/>
      <c r="GM846" s="353"/>
      <c r="GN846" s="353"/>
      <c r="GO846" s="353"/>
      <c r="GP846" s="353"/>
      <c r="GQ846" s="353"/>
      <c r="GR846" s="353"/>
      <c r="GS846" s="353"/>
      <c r="GT846" s="353"/>
      <c r="GU846" s="353"/>
      <c r="GV846" s="353"/>
      <c r="GW846" s="353"/>
      <c r="GX846" s="353"/>
      <c r="GY846" s="353"/>
      <c r="GZ846" s="353"/>
      <c r="HA846" s="353"/>
      <c r="HB846" s="353"/>
      <c r="HC846" s="353"/>
      <c r="HD846" s="353"/>
      <c r="HE846" s="353"/>
      <c r="HF846" s="353"/>
      <c r="HG846" s="353"/>
      <c r="HH846" s="353"/>
      <c r="HI846" s="353"/>
      <c r="HJ846" s="353"/>
      <c r="HK846" s="353"/>
      <c r="HL846" s="353"/>
      <c r="HM846" s="353"/>
      <c r="HN846" s="353"/>
      <c r="HO846" s="353"/>
      <c r="HP846" s="353"/>
      <c r="HQ846" s="353"/>
      <c r="HR846" s="353"/>
    </row>
    <row r="847" spans="1:226" s="354" customFormat="1" ht="15" hidden="1" customHeight="1">
      <c r="A847" s="1557"/>
      <c r="B847" s="1560"/>
      <c r="C847" s="1563"/>
      <c r="D847" s="1566"/>
      <c r="E847" s="358" t="s">
        <v>471</v>
      </c>
      <c r="F847" s="359">
        <f t="shared" ref="F847:F852" si="68">SUM(G847:J847)</f>
        <v>0</v>
      </c>
      <c r="G847" s="359"/>
      <c r="H847" s="359"/>
      <c r="I847" s="359"/>
      <c r="J847" s="360"/>
      <c r="K847" s="353"/>
    </row>
    <row r="848" spans="1:226" s="354" customFormat="1" ht="15" customHeight="1">
      <c r="A848" s="1557"/>
      <c r="B848" s="1560"/>
      <c r="C848" s="1563"/>
      <c r="D848" s="1566"/>
      <c r="E848" s="411">
        <v>6057</v>
      </c>
      <c r="F848" s="412">
        <f t="shared" si="68"/>
        <v>25865177</v>
      </c>
      <c r="G848" s="412"/>
      <c r="H848" s="412">
        <v>25865177</v>
      </c>
      <c r="I848" s="412"/>
      <c r="J848" s="413"/>
      <c r="K848" s="353"/>
    </row>
    <row r="849" spans="1:226" s="354" customFormat="1" ht="15" customHeight="1">
      <c r="A849" s="1557"/>
      <c r="B849" s="1560"/>
      <c r="C849" s="1563"/>
      <c r="D849" s="1566"/>
      <c r="E849" s="411">
        <v>6059</v>
      </c>
      <c r="F849" s="412">
        <f t="shared" si="68"/>
        <v>7743606</v>
      </c>
      <c r="G849" s="412">
        <v>7743606</v>
      </c>
      <c r="H849" s="412"/>
      <c r="I849" s="412"/>
      <c r="J849" s="413"/>
      <c r="K849" s="353"/>
    </row>
    <row r="850" spans="1:226" s="354" customFormat="1" ht="15" hidden="1" customHeight="1">
      <c r="A850" s="1557"/>
      <c r="B850" s="1560"/>
      <c r="C850" s="1563"/>
      <c r="D850" s="1566"/>
      <c r="E850" s="411">
        <v>6060</v>
      </c>
      <c r="F850" s="412">
        <f t="shared" si="68"/>
        <v>0</v>
      </c>
      <c r="G850" s="412"/>
      <c r="H850" s="412"/>
      <c r="I850" s="412"/>
      <c r="J850" s="413"/>
      <c r="K850" s="353"/>
    </row>
    <row r="851" spans="1:226" s="354" customFormat="1" ht="15" hidden="1" customHeight="1">
      <c r="A851" s="1557"/>
      <c r="B851" s="1560"/>
      <c r="C851" s="1563"/>
      <c r="D851" s="1566"/>
      <c r="E851" s="363" t="s">
        <v>408</v>
      </c>
      <c r="F851" s="412">
        <f t="shared" si="68"/>
        <v>0</v>
      </c>
      <c r="G851" s="412"/>
      <c r="H851" s="412"/>
      <c r="I851" s="412"/>
      <c r="J851" s="413"/>
      <c r="K851" s="353"/>
    </row>
    <row r="852" spans="1:226" s="354" customFormat="1" ht="15" hidden="1" customHeight="1">
      <c r="A852" s="1558"/>
      <c r="B852" s="1561"/>
      <c r="C852" s="1564"/>
      <c r="D852" s="1567"/>
      <c r="E852" s="411">
        <v>6069</v>
      </c>
      <c r="F852" s="412">
        <f t="shared" si="68"/>
        <v>0</v>
      </c>
      <c r="G852" s="412"/>
      <c r="H852" s="412"/>
      <c r="I852" s="412"/>
      <c r="J852" s="413"/>
      <c r="K852" s="353"/>
    </row>
    <row r="853" spans="1:226" s="354" customFormat="1" ht="24.95" customHeight="1">
      <c r="A853" s="1556" t="s">
        <v>452</v>
      </c>
      <c r="B853" s="1559" t="s">
        <v>493</v>
      </c>
      <c r="C853" s="1562">
        <v>600</v>
      </c>
      <c r="D853" s="1565" t="s">
        <v>470</v>
      </c>
      <c r="E853" s="350" t="s">
        <v>315</v>
      </c>
      <c r="F853" s="351">
        <f>SUM(F854,F861)</f>
        <v>17000000</v>
      </c>
      <c r="G853" s="351">
        <f>SUM(G854,G861)</f>
        <v>2550000</v>
      </c>
      <c r="H853" s="351">
        <f>SUM(H854,H861)</f>
        <v>14450000</v>
      </c>
      <c r="I853" s="351">
        <f>SUM(I854,I861)</f>
        <v>0</v>
      </c>
      <c r="J853" s="352">
        <f>SUM(J854,J861)</f>
        <v>0</v>
      </c>
      <c r="K853" s="353"/>
    </row>
    <row r="854" spans="1:226" s="354" customFormat="1" ht="24.95" customHeight="1">
      <c r="A854" s="1557"/>
      <c r="B854" s="1560"/>
      <c r="C854" s="1563"/>
      <c r="D854" s="1566"/>
      <c r="E854" s="355" t="s">
        <v>316</v>
      </c>
      <c r="F854" s="356">
        <f>SUM(F855,F858)</f>
        <v>0</v>
      </c>
      <c r="G854" s="356">
        <f>SUM(G855,G858)</f>
        <v>0</v>
      </c>
      <c r="H854" s="356">
        <f>SUM(H855,H858)</f>
        <v>0</v>
      </c>
      <c r="I854" s="356">
        <f>SUM(I855,I858)</f>
        <v>0</v>
      </c>
      <c r="J854" s="357">
        <f>SUM(J855,J858)</f>
        <v>0</v>
      </c>
      <c r="K854" s="353"/>
    </row>
    <row r="855" spans="1:226" s="354" customFormat="1" ht="24.95" hidden="1" customHeight="1">
      <c r="A855" s="1557"/>
      <c r="B855" s="1560"/>
      <c r="C855" s="1563"/>
      <c r="D855" s="1566"/>
      <c r="E855" s="393" t="s">
        <v>333</v>
      </c>
      <c r="F855" s="394">
        <f>SUM(F856:F857)</f>
        <v>0</v>
      </c>
      <c r="G855" s="394">
        <f>SUM(G856:G857)</f>
        <v>0</v>
      </c>
      <c r="H855" s="394">
        <f>SUM(H856:H857)</f>
        <v>0</v>
      </c>
      <c r="I855" s="394">
        <f>SUM(I856:I857)</f>
        <v>0</v>
      </c>
      <c r="J855" s="395">
        <f>SUM(J856:J857)</f>
        <v>0</v>
      </c>
      <c r="K855" s="353"/>
    </row>
    <row r="856" spans="1:226" s="354" customFormat="1" ht="15" hidden="1" customHeight="1">
      <c r="A856" s="1557"/>
      <c r="B856" s="1560"/>
      <c r="C856" s="1563"/>
      <c r="D856" s="1566"/>
      <c r="E856" s="358"/>
      <c r="F856" s="359">
        <f>SUM(G856:J856)</f>
        <v>0</v>
      </c>
      <c r="G856" s="359"/>
      <c r="H856" s="359"/>
      <c r="I856" s="359"/>
      <c r="J856" s="360"/>
      <c r="K856" s="353"/>
    </row>
    <row r="857" spans="1:226" s="354" customFormat="1" ht="15" hidden="1" customHeight="1">
      <c r="A857" s="1557"/>
      <c r="B857" s="1560"/>
      <c r="C857" s="1563"/>
      <c r="D857" s="1566"/>
      <c r="E857" s="358"/>
      <c r="F857" s="359">
        <f>SUM(G857:J857)</f>
        <v>0</v>
      </c>
      <c r="G857" s="359"/>
      <c r="H857" s="359"/>
      <c r="I857" s="359"/>
      <c r="J857" s="360"/>
      <c r="K857" s="353"/>
    </row>
    <row r="858" spans="1:226" s="354" customFormat="1" ht="24.95" hidden="1" customHeight="1">
      <c r="A858" s="1557"/>
      <c r="B858" s="1560"/>
      <c r="C858" s="1563"/>
      <c r="D858" s="1566"/>
      <c r="E858" s="393" t="s">
        <v>338</v>
      </c>
      <c r="F858" s="394">
        <f>SUM(F859:F860)</f>
        <v>0</v>
      </c>
      <c r="G858" s="394">
        <f>SUM(G859:G860)</f>
        <v>0</v>
      </c>
      <c r="H858" s="394">
        <f>SUM(H859:H860)</f>
        <v>0</v>
      </c>
      <c r="I858" s="394">
        <f>SUM(I859:I860)</f>
        <v>0</v>
      </c>
      <c r="J858" s="395">
        <f>SUM(J859:J860)</f>
        <v>0</v>
      </c>
      <c r="K858" s="353"/>
    </row>
    <row r="859" spans="1:226" s="354" customFormat="1" ht="15" hidden="1" customHeight="1">
      <c r="A859" s="1557"/>
      <c r="B859" s="1560"/>
      <c r="C859" s="1563"/>
      <c r="D859" s="1566"/>
      <c r="E859" s="358"/>
      <c r="F859" s="359">
        <f>SUM(G859:J859)</f>
        <v>0</v>
      </c>
      <c r="G859" s="359"/>
      <c r="H859" s="359"/>
      <c r="I859" s="359"/>
      <c r="J859" s="360"/>
      <c r="K859" s="353"/>
    </row>
    <row r="860" spans="1:226" s="354" customFormat="1" ht="15" hidden="1" customHeight="1">
      <c r="A860" s="1557"/>
      <c r="B860" s="1560"/>
      <c r="C860" s="1563"/>
      <c r="D860" s="1566"/>
      <c r="E860" s="358"/>
      <c r="F860" s="359">
        <f>SUM(G860:J860)</f>
        <v>0</v>
      </c>
      <c r="G860" s="359"/>
      <c r="H860" s="359"/>
      <c r="I860" s="359"/>
      <c r="J860" s="360"/>
      <c r="K860" s="353"/>
    </row>
    <row r="861" spans="1:226" s="354" customFormat="1" ht="24.95" customHeight="1">
      <c r="A861" s="1557"/>
      <c r="B861" s="1560"/>
      <c r="C861" s="1563"/>
      <c r="D861" s="1566"/>
      <c r="E861" s="361" t="s">
        <v>318</v>
      </c>
      <c r="F861" s="356">
        <f>SUM(F862:F867)</f>
        <v>17000000</v>
      </c>
      <c r="G861" s="356">
        <f>SUM(G862:G867)</f>
        <v>2550000</v>
      </c>
      <c r="H861" s="356">
        <f>SUM(H862:H867)</f>
        <v>14450000</v>
      </c>
      <c r="I861" s="356">
        <f>SUM(I862:I867)</f>
        <v>0</v>
      </c>
      <c r="J861" s="357">
        <f>SUM(J862:J867)</f>
        <v>0</v>
      </c>
      <c r="K861" s="353"/>
      <c r="L861" s="353"/>
      <c r="M861" s="353"/>
      <c r="N861" s="353"/>
      <c r="O861" s="353"/>
      <c r="P861" s="353"/>
      <c r="Q861" s="353"/>
      <c r="R861" s="353"/>
      <c r="S861" s="353"/>
      <c r="T861" s="353"/>
      <c r="U861" s="353"/>
      <c r="V861" s="353"/>
      <c r="W861" s="353"/>
      <c r="X861" s="353"/>
      <c r="Y861" s="353"/>
      <c r="Z861" s="353"/>
      <c r="AA861" s="353"/>
      <c r="AB861" s="353"/>
      <c r="AC861" s="353"/>
      <c r="AD861" s="353"/>
      <c r="AE861" s="353"/>
      <c r="AF861" s="353"/>
      <c r="AG861" s="353"/>
      <c r="AH861" s="353"/>
      <c r="AI861" s="353"/>
      <c r="AJ861" s="353"/>
      <c r="AK861" s="353"/>
      <c r="AL861" s="353"/>
      <c r="AM861" s="353"/>
      <c r="AN861" s="353"/>
      <c r="AO861" s="353"/>
      <c r="AP861" s="353"/>
      <c r="AQ861" s="353"/>
      <c r="AR861" s="353"/>
      <c r="AS861" s="353"/>
      <c r="AT861" s="353"/>
      <c r="AU861" s="353"/>
      <c r="AV861" s="353"/>
      <c r="AW861" s="353"/>
      <c r="AX861" s="353"/>
      <c r="AY861" s="353"/>
      <c r="AZ861" s="353"/>
      <c r="BA861" s="353"/>
      <c r="BB861" s="353"/>
      <c r="BC861" s="353"/>
      <c r="BD861" s="353"/>
      <c r="BE861" s="353"/>
      <c r="BF861" s="353"/>
      <c r="BG861" s="353"/>
      <c r="BH861" s="353"/>
      <c r="BI861" s="353"/>
      <c r="BJ861" s="353"/>
      <c r="BK861" s="353"/>
      <c r="BL861" s="353"/>
      <c r="BM861" s="353"/>
      <c r="BN861" s="353"/>
      <c r="BO861" s="353"/>
      <c r="BP861" s="353"/>
      <c r="BQ861" s="353"/>
      <c r="BR861" s="353"/>
      <c r="BS861" s="353"/>
      <c r="BT861" s="353"/>
      <c r="BU861" s="353"/>
      <c r="BV861" s="353"/>
      <c r="BW861" s="353"/>
      <c r="BX861" s="353"/>
      <c r="BY861" s="353"/>
      <c r="BZ861" s="353"/>
      <c r="CA861" s="353"/>
      <c r="CB861" s="353"/>
      <c r="CC861" s="353"/>
      <c r="CD861" s="353"/>
      <c r="CE861" s="353"/>
      <c r="CF861" s="353"/>
      <c r="CG861" s="353"/>
      <c r="CH861" s="353"/>
      <c r="CI861" s="353"/>
      <c r="CJ861" s="353"/>
      <c r="CK861" s="353"/>
      <c r="CL861" s="353"/>
      <c r="CM861" s="353"/>
      <c r="CN861" s="353"/>
      <c r="CO861" s="353"/>
      <c r="CP861" s="353"/>
      <c r="CQ861" s="353"/>
      <c r="CR861" s="353"/>
      <c r="CS861" s="353"/>
      <c r="CT861" s="353"/>
      <c r="CU861" s="353"/>
      <c r="CV861" s="353"/>
      <c r="CW861" s="353"/>
      <c r="CX861" s="353"/>
      <c r="CY861" s="353"/>
      <c r="CZ861" s="353"/>
      <c r="DA861" s="353"/>
      <c r="DB861" s="353"/>
      <c r="DC861" s="353"/>
      <c r="DD861" s="353"/>
      <c r="DE861" s="353"/>
      <c r="DF861" s="353"/>
      <c r="DG861" s="353"/>
      <c r="DH861" s="353"/>
      <c r="DI861" s="353"/>
      <c r="DJ861" s="353"/>
      <c r="DK861" s="353"/>
      <c r="DL861" s="353"/>
      <c r="DM861" s="353"/>
      <c r="DN861" s="353"/>
      <c r="DO861" s="353"/>
      <c r="DP861" s="353"/>
      <c r="DQ861" s="353"/>
      <c r="DR861" s="353"/>
      <c r="DS861" s="353"/>
      <c r="DT861" s="353"/>
      <c r="DU861" s="353"/>
      <c r="DV861" s="353"/>
      <c r="DW861" s="353"/>
      <c r="DX861" s="353"/>
      <c r="DY861" s="353"/>
      <c r="DZ861" s="353"/>
      <c r="EA861" s="353"/>
      <c r="EB861" s="353"/>
      <c r="EC861" s="353"/>
      <c r="ED861" s="353"/>
      <c r="EE861" s="353"/>
      <c r="EF861" s="353"/>
      <c r="EG861" s="353"/>
      <c r="EH861" s="353"/>
      <c r="EI861" s="353"/>
      <c r="EJ861" s="353"/>
      <c r="EK861" s="353"/>
      <c r="EL861" s="353"/>
      <c r="EM861" s="353"/>
      <c r="EN861" s="353"/>
      <c r="EO861" s="353"/>
      <c r="EP861" s="353"/>
      <c r="EQ861" s="353"/>
      <c r="ER861" s="353"/>
      <c r="ES861" s="353"/>
      <c r="ET861" s="353"/>
      <c r="EU861" s="353"/>
      <c r="EV861" s="353"/>
      <c r="EW861" s="353"/>
      <c r="EX861" s="353"/>
      <c r="EY861" s="353"/>
      <c r="EZ861" s="353"/>
      <c r="FA861" s="353"/>
      <c r="FB861" s="353"/>
      <c r="FC861" s="353"/>
      <c r="FD861" s="353"/>
      <c r="FE861" s="353"/>
      <c r="FF861" s="353"/>
      <c r="FG861" s="353"/>
      <c r="FH861" s="353"/>
      <c r="FI861" s="353"/>
      <c r="FJ861" s="353"/>
      <c r="FK861" s="353"/>
      <c r="FL861" s="353"/>
      <c r="FM861" s="353"/>
      <c r="FN861" s="353"/>
      <c r="FO861" s="353"/>
      <c r="FP861" s="353"/>
      <c r="FQ861" s="353"/>
      <c r="FR861" s="353"/>
      <c r="FS861" s="353"/>
      <c r="FT861" s="353"/>
      <c r="FU861" s="353"/>
      <c r="FV861" s="353"/>
      <c r="FW861" s="353"/>
      <c r="FX861" s="353"/>
      <c r="FY861" s="353"/>
      <c r="FZ861" s="353"/>
      <c r="GA861" s="353"/>
      <c r="GB861" s="353"/>
      <c r="GC861" s="353"/>
      <c r="GD861" s="353"/>
      <c r="GE861" s="353"/>
      <c r="GF861" s="353"/>
      <c r="GG861" s="353"/>
      <c r="GH861" s="353"/>
      <c r="GI861" s="353"/>
      <c r="GJ861" s="353"/>
      <c r="GK861" s="353"/>
      <c r="GL861" s="353"/>
      <c r="GM861" s="353"/>
      <c r="GN861" s="353"/>
      <c r="GO861" s="353"/>
      <c r="GP861" s="353"/>
      <c r="GQ861" s="353"/>
      <c r="GR861" s="353"/>
      <c r="GS861" s="353"/>
      <c r="GT861" s="353"/>
      <c r="GU861" s="353"/>
      <c r="GV861" s="353"/>
      <c r="GW861" s="353"/>
      <c r="GX861" s="353"/>
      <c r="GY861" s="353"/>
      <c r="GZ861" s="353"/>
      <c r="HA861" s="353"/>
      <c r="HB861" s="353"/>
      <c r="HC861" s="353"/>
      <c r="HD861" s="353"/>
      <c r="HE861" s="353"/>
      <c r="HF861" s="353"/>
      <c r="HG861" s="353"/>
      <c r="HH861" s="353"/>
      <c r="HI861" s="353"/>
      <c r="HJ861" s="353"/>
      <c r="HK861" s="353"/>
      <c r="HL861" s="353"/>
      <c r="HM861" s="353"/>
      <c r="HN861" s="353"/>
      <c r="HO861" s="353"/>
      <c r="HP861" s="353"/>
      <c r="HQ861" s="353"/>
      <c r="HR861" s="353"/>
    </row>
    <row r="862" spans="1:226" s="354" customFormat="1" ht="15" hidden="1" customHeight="1">
      <c r="A862" s="1557"/>
      <c r="B862" s="1560"/>
      <c r="C862" s="1563"/>
      <c r="D862" s="1566"/>
      <c r="E862" s="358" t="s">
        <v>471</v>
      </c>
      <c r="F862" s="359">
        <f t="shared" ref="F862:F867" si="69">SUM(G862:J862)</f>
        <v>0</v>
      </c>
      <c r="G862" s="359"/>
      <c r="H862" s="359"/>
      <c r="I862" s="359"/>
      <c r="J862" s="360"/>
      <c r="K862" s="353"/>
    </row>
    <row r="863" spans="1:226" s="354" customFormat="1" ht="15" customHeight="1">
      <c r="A863" s="1557"/>
      <c r="B863" s="1560"/>
      <c r="C863" s="1563"/>
      <c r="D863" s="1566"/>
      <c r="E863" s="411">
        <v>6057</v>
      </c>
      <c r="F863" s="412">
        <f t="shared" si="69"/>
        <v>12325000</v>
      </c>
      <c r="G863" s="412"/>
      <c r="H863" s="412">
        <v>12325000</v>
      </c>
      <c r="I863" s="412"/>
      <c r="J863" s="413"/>
      <c r="K863" s="353"/>
    </row>
    <row r="864" spans="1:226" s="354" customFormat="1" ht="15" customHeight="1">
      <c r="A864" s="1557"/>
      <c r="B864" s="1560"/>
      <c r="C864" s="1563"/>
      <c r="D864" s="1566"/>
      <c r="E864" s="411">
        <v>6059</v>
      </c>
      <c r="F864" s="412">
        <f t="shared" si="69"/>
        <v>2175000</v>
      </c>
      <c r="G864" s="412">
        <v>2175000</v>
      </c>
      <c r="H864" s="412"/>
      <c r="I864" s="412"/>
      <c r="J864" s="413"/>
      <c r="K864" s="353"/>
    </row>
    <row r="865" spans="1:226" s="354" customFormat="1" ht="15" hidden="1" customHeight="1">
      <c r="A865" s="1557"/>
      <c r="B865" s="1560"/>
      <c r="C865" s="1563"/>
      <c r="D865" s="1566"/>
      <c r="E865" s="411">
        <v>6060</v>
      </c>
      <c r="F865" s="412">
        <f t="shared" si="69"/>
        <v>0</v>
      </c>
      <c r="G865" s="412"/>
      <c r="H865" s="412"/>
      <c r="I865" s="412"/>
      <c r="J865" s="413"/>
      <c r="K865" s="353"/>
    </row>
    <row r="866" spans="1:226" s="354" customFormat="1" ht="15" customHeight="1">
      <c r="A866" s="1557"/>
      <c r="B866" s="1560"/>
      <c r="C866" s="1563"/>
      <c r="D866" s="1566"/>
      <c r="E866" s="363" t="s">
        <v>408</v>
      </c>
      <c r="F866" s="412">
        <f t="shared" si="69"/>
        <v>2125000</v>
      </c>
      <c r="G866" s="412"/>
      <c r="H866" s="412">
        <v>2125000</v>
      </c>
      <c r="I866" s="412"/>
      <c r="J866" s="413"/>
      <c r="K866" s="353"/>
    </row>
    <row r="867" spans="1:226" s="354" customFormat="1" ht="15" customHeight="1">
      <c r="A867" s="1558"/>
      <c r="B867" s="1561"/>
      <c r="C867" s="1564"/>
      <c r="D867" s="1567"/>
      <c r="E867" s="396">
        <v>6069</v>
      </c>
      <c r="F867" s="359">
        <f t="shared" si="69"/>
        <v>375000</v>
      </c>
      <c r="G867" s="359">
        <v>375000</v>
      </c>
      <c r="H867" s="359"/>
      <c r="I867" s="359"/>
      <c r="J867" s="360"/>
      <c r="K867" s="353"/>
    </row>
    <row r="868" spans="1:226" s="354" customFormat="1" ht="24.95" customHeight="1">
      <c r="A868" s="1556" t="s">
        <v>454</v>
      </c>
      <c r="B868" s="1559" t="s">
        <v>494</v>
      </c>
      <c r="C868" s="1562">
        <v>600</v>
      </c>
      <c r="D868" s="1565" t="s">
        <v>470</v>
      </c>
      <c r="E868" s="350" t="s">
        <v>315</v>
      </c>
      <c r="F868" s="351">
        <f>SUM(F869,F876)</f>
        <v>6200000</v>
      </c>
      <c r="G868" s="351">
        <f>SUM(G869,G876)</f>
        <v>930000</v>
      </c>
      <c r="H868" s="351">
        <f>SUM(H869,H876)</f>
        <v>5270000</v>
      </c>
      <c r="I868" s="351">
        <f>SUM(I869,I876)</f>
        <v>0</v>
      </c>
      <c r="J868" s="352">
        <f>SUM(J869,J876)</f>
        <v>0</v>
      </c>
      <c r="K868" s="353"/>
    </row>
    <row r="869" spans="1:226" s="354" customFormat="1" ht="21" customHeight="1">
      <c r="A869" s="1557"/>
      <c r="B869" s="1560"/>
      <c r="C869" s="1563"/>
      <c r="D869" s="1566"/>
      <c r="E869" s="355" t="s">
        <v>316</v>
      </c>
      <c r="F869" s="356">
        <f>SUM(F870,F873)</f>
        <v>0</v>
      </c>
      <c r="G869" s="356">
        <f>SUM(G870,G873)</f>
        <v>0</v>
      </c>
      <c r="H869" s="356">
        <f>SUM(H870,H873)</f>
        <v>0</v>
      </c>
      <c r="I869" s="356">
        <f>SUM(I870,I873)</f>
        <v>0</v>
      </c>
      <c r="J869" s="357">
        <f>SUM(J870,J873)</f>
        <v>0</v>
      </c>
      <c r="K869" s="353"/>
    </row>
    <row r="870" spans="1:226" s="354" customFormat="1" ht="24.95" hidden="1" customHeight="1">
      <c r="A870" s="1557"/>
      <c r="B870" s="1560"/>
      <c r="C870" s="1563"/>
      <c r="D870" s="1566"/>
      <c r="E870" s="393" t="s">
        <v>333</v>
      </c>
      <c r="F870" s="394">
        <f>SUM(F871:F872)</f>
        <v>0</v>
      </c>
      <c r="G870" s="394">
        <f>SUM(G871:G872)</f>
        <v>0</v>
      </c>
      <c r="H870" s="394">
        <f>SUM(H871:H872)</f>
        <v>0</v>
      </c>
      <c r="I870" s="394">
        <f>SUM(I871:I872)</f>
        <v>0</v>
      </c>
      <c r="J870" s="395">
        <f>SUM(J871:J872)</f>
        <v>0</v>
      </c>
      <c r="K870" s="353"/>
    </row>
    <row r="871" spans="1:226" s="354" customFormat="1" ht="15" hidden="1" customHeight="1">
      <c r="A871" s="1557"/>
      <c r="B871" s="1560"/>
      <c r="C871" s="1563"/>
      <c r="D871" s="1566"/>
      <c r="E871" s="358"/>
      <c r="F871" s="359">
        <f>SUM(G871:J871)</f>
        <v>0</v>
      </c>
      <c r="G871" s="359"/>
      <c r="H871" s="359"/>
      <c r="I871" s="359"/>
      <c r="J871" s="360"/>
      <c r="K871" s="353"/>
    </row>
    <row r="872" spans="1:226" s="354" customFormat="1" ht="15" hidden="1" customHeight="1">
      <c r="A872" s="1557"/>
      <c r="B872" s="1560"/>
      <c r="C872" s="1563"/>
      <c r="D872" s="1566"/>
      <c r="E872" s="358"/>
      <c r="F872" s="359">
        <f>SUM(G872:J872)</f>
        <v>0</v>
      </c>
      <c r="G872" s="359"/>
      <c r="H872" s="359"/>
      <c r="I872" s="359"/>
      <c r="J872" s="360"/>
      <c r="K872" s="353"/>
    </row>
    <row r="873" spans="1:226" s="354" customFormat="1" ht="24.95" hidden="1" customHeight="1">
      <c r="A873" s="1557"/>
      <c r="B873" s="1560"/>
      <c r="C873" s="1563"/>
      <c r="D873" s="1566"/>
      <c r="E873" s="393" t="s">
        <v>338</v>
      </c>
      <c r="F873" s="394">
        <f>SUM(F874:F875)</f>
        <v>0</v>
      </c>
      <c r="G873" s="394">
        <f>SUM(G874:G875)</f>
        <v>0</v>
      </c>
      <c r="H873" s="394">
        <f>SUM(H874:H875)</f>
        <v>0</v>
      </c>
      <c r="I873" s="394">
        <f>SUM(I874:I875)</f>
        <v>0</v>
      </c>
      <c r="J873" s="395">
        <f>SUM(J874:J875)</f>
        <v>0</v>
      </c>
      <c r="K873" s="353"/>
    </row>
    <row r="874" spans="1:226" s="354" customFormat="1" ht="15" hidden="1" customHeight="1">
      <c r="A874" s="1557"/>
      <c r="B874" s="1560"/>
      <c r="C874" s="1563"/>
      <c r="D874" s="1566"/>
      <c r="E874" s="358"/>
      <c r="F874" s="359">
        <f>SUM(G874:J874)</f>
        <v>0</v>
      </c>
      <c r="G874" s="359"/>
      <c r="H874" s="359"/>
      <c r="I874" s="359"/>
      <c r="J874" s="360"/>
      <c r="K874" s="353"/>
    </row>
    <row r="875" spans="1:226" s="354" customFormat="1" ht="15" hidden="1" customHeight="1">
      <c r="A875" s="1557"/>
      <c r="B875" s="1560"/>
      <c r="C875" s="1563"/>
      <c r="D875" s="1566"/>
      <c r="E875" s="358"/>
      <c r="F875" s="359">
        <f>SUM(G875:J875)</f>
        <v>0</v>
      </c>
      <c r="G875" s="359"/>
      <c r="H875" s="359"/>
      <c r="I875" s="359"/>
      <c r="J875" s="360"/>
      <c r="K875" s="353"/>
    </row>
    <row r="876" spans="1:226" s="354" customFormat="1" ht="21" customHeight="1">
      <c r="A876" s="1557"/>
      <c r="B876" s="1560"/>
      <c r="C876" s="1563"/>
      <c r="D876" s="1566"/>
      <c r="E876" s="361" t="s">
        <v>318</v>
      </c>
      <c r="F876" s="356">
        <f>SUM(F877:F882)</f>
        <v>6200000</v>
      </c>
      <c r="G876" s="356">
        <f>SUM(G877:G882)</f>
        <v>930000</v>
      </c>
      <c r="H876" s="356">
        <f>SUM(H877:H882)</f>
        <v>5270000</v>
      </c>
      <c r="I876" s="356">
        <f>SUM(I877:I882)</f>
        <v>0</v>
      </c>
      <c r="J876" s="357">
        <f>SUM(J877:J882)</f>
        <v>0</v>
      </c>
      <c r="K876" s="353"/>
      <c r="L876" s="353"/>
      <c r="M876" s="353"/>
      <c r="N876" s="353"/>
      <c r="O876" s="353"/>
      <c r="P876" s="353"/>
      <c r="Q876" s="353"/>
      <c r="R876" s="353"/>
      <c r="S876" s="353"/>
      <c r="T876" s="353"/>
      <c r="U876" s="353"/>
      <c r="V876" s="353"/>
      <c r="W876" s="353"/>
      <c r="X876" s="353"/>
      <c r="Y876" s="353"/>
      <c r="Z876" s="353"/>
      <c r="AA876" s="353"/>
      <c r="AB876" s="353"/>
      <c r="AC876" s="353"/>
      <c r="AD876" s="353"/>
      <c r="AE876" s="353"/>
      <c r="AF876" s="353"/>
      <c r="AG876" s="353"/>
      <c r="AH876" s="353"/>
      <c r="AI876" s="353"/>
      <c r="AJ876" s="353"/>
      <c r="AK876" s="353"/>
      <c r="AL876" s="353"/>
      <c r="AM876" s="353"/>
      <c r="AN876" s="353"/>
      <c r="AO876" s="353"/>
      <c r="AP876" s="353"/>
      <c r="AQ876" s="353"/>
      <c r="AR876" s="353"/>
      <c r="AS876" s="353"/>
      <c r="AT876" s="353"/>
      <c r="AU876" s="353"/>
      <c r="AV876" s="353"/>
      <c r="AW876" s="353"/>
      <c r="AX876" s="353"/>
      <c r="AY876" s="353"/>
      <c r="AZ876" s="353"/>
      <c r="BA876" s="353"/>
      <c r="BB876" s="353"/>
      <c r="BC876" s="353"/>
      <c r="BD876" s="353"/>
      <c r="BE876" s="353"/>
      <c r="BF876" s="353"/>
      <c r="BG876" s="353"/>
      <c r="BH876" s="353"/>
      <c r="BI876" s="353"/>
      <c r="BJ876" s="353"/>
      <c r="BK876" s="353"/>
      <c r="BL876" s="353"/>
      <c r="BM876" s="353"/>
      <c r="BN876" s="353"/>
      <c r="BO876" s="353"/>
      <c r="BP876" s="353"/>
      <c r="BQ876" s="353"/>
      <c r="BR876" s="353"/>
      <c r="BS876" s="353"/>
      <c r="BT876" s="353"/>
      <c r="BU876" s="353"/>
      <c r="BV876" s="353"/>
      <c r="BW876" s="353"/>
      <c r="BX876" s="353"/>
      <c r="BY876" s="353"/>
      <c r="BZ876" s="353"/>
      <c r="CA876" s="353"/>
      <c r="CB876" s="353"/>
      <c r="CC876" s="353"/>
      <c r="CD876" s="353"/>
      <c r="CE876" s="353"/>
      <c r="CF876" s="353"/>
      <c r="CG876" s="353"/>
      <c r="CH876" s="353"/>
      <c r="CI876" s="353"/>
      <c r="CJ876" s="353"/>
      <c r="CK876" s="353"/>
      <c r="CL876" s="353"/>
      <c r="CM876" s="353"/>
      <c r="CN876" s="353"/>
      <c r="CO876" s="353"/>
      <c r="CP876" s="353"/>
      <c r="CQ876" s="353"/>
      <c r="CR876" s="353"/>
      <c r="CS876" s="353"/>
      <c r="CT876" s="353"/>
      <c r="CU876" s="353"/>
      <c r="CV876" s="353"/>
      <c r="CW876" s="353"/>
      <c r="CX876" s="353"/>
      <c r="CY876" s="353"/>
      <c r="CZ876" s="353"/>
      <c r="DA876" s="353"/>
      <c r="DB876" s="353"/>
      <c r="DC876" s="353"/>
      <c r="DD876" s="353"/>
      <c r="DE876" s="353"/>
      <c r="DF876" s="353"/>
      <c r="DG876" s="353"/>
      <c r="DH876" s="353"/>
      <c r="DI876" s="353"/>
      <c r="DJ876" s="353"/>
      <c r="DK876" s="353"/>
      <c r="DL876" s="353"/>
      <c r="DM876" s="353"/>
      <c r="DN876" s="353"/>
      <c r="DO876" s="353"/>
      <c r="DP876" s="353"/>
      <c r="DQ876" s="353"/>
      <c r="DR876" s="353"/>
      <c r="DS876" s="353"/>
      <c r="DT876" s="353"/>
      <c r="DU876" s="353"/>
      <c r="DV876" s="353"/>
      <c r="DW876" s="353"/>
      <c r="DX876" s="353"/>
      <c r="DY876" s="353"/>
      <c r="DZ876" s="353"/>
      <c r="EA876" s="353"/>
      <c r="EB876" s="353"/>
      <c r="EC876" s="353"/>
      <c r="ED876" s="353"/>
      <c r="EE876" s="353"/>
      <c r="EF876" s="353"/>
      <c r="EG876" s="353"/>
      <c r="EH876" s="353"/>
      <c r="EI876" s="353"/>
      <c r="EJ876" s="353"/>
      <c r="EK876" s="353"/>
      <c r="EL876" s="353"/>
      <c r="EM876" s="353"/>
      <c r="EN876" s="353"/>
      <c r="EO876" s="353"/>
      <c r="EP876" s="353"/>
      <c r="EQ876" s="353"/>
      <c r="ER876" s="353"/>
      <c r="ES876" s="353"/>
      <c r="ET876" s="353"/>
      <c r="EU876" s="353"/>
      <c r="EV876" s="353"/>
      <c r="EW876" s="353"/>
      <c r="EX876" s="353"/>
      <c r="EY876" s="353"/>
      <c r="EZ876" s="353"/>
      <c r="FA876" s="353"/>
      <c r="FB876" s="353"/>
      <c r="FC876" s="353"/>
      <c r="FD876" s="353"/>
      <c r="FE876" s="353"/>
      <c r="FF876" s="353"/>
      <c r="FG876" s="353"/>
      <c r="FH876" s="353"/>
      <c r="FI876" s="353"/>
      <c r="FJ876" s="353"/>
      <c r="FK876" s="353"/>
      <c r="FL876" s="353"/>
      <c r="FM876" s="353"/>
      <c r="FN876" s="353"/>
      <c r="FO876" s="353"/>
      <c r="FP876" s="353"/>
      <c r="FQ876" s="353"/>
      <c r="FR876" s="353"/>
      <c r="FS876" s="353"/>
      <c r="FT876" s="353"/>
      <c r="FU876" s="353"/>
      <c r="FV876" s="353"/>
      <c r="FW876" s="353"/>
      <c r="FX876" s="353"/>
      <c r="FY876" s="353"/>
      <c r="FZ876" s="353"/>
      <c r="GA876" s="353"/>
      <c r="GB876" s="353"/>
      <c r="GC876" s="353"/>
      <c r="GD876" s="353"/>
      <c r="GE876" s="353"/>
      <c r="GF876" s="353"/>
      <c r="GG876" s="353"/>
      <c r="GH876" s="353"/>
      <c r="GI876" s="353"/>
      <c r="GJ876" s="353"/>
      <c r="GK876" s="353"/>
      <c r="GL876" s="353"/>
      <c r="GM876" s="353"/>
      <c r="GN876" s="353"/>
      <c r="GO876" s="353"/>
      <c r="GP876" s="353"/>
      <c r="GQ876" s="353"/>
      <c r="GR876" s="353"/>
      <c r="GS876" s="353"/>
      <c r="GT876" s="353"/>
      <c r="GU876" s="353"/>
      <c r="GV876" s="353"/>
      <c r="GW876" s="353"/>
      <c r="GX876" s="353"/>
      <c r="GY876" s="353"/>
      <c r="GZ876" s="353"/>
      <c r="HA876" s="353"/>
      <c r="HB876" s="353"/>
      <c r="HC876" s="353"/>
      <c r="HD876" s="353"/>
      <c r="HE876" s="353"/>
      <c r="HF876" s="353"/>
      <c r="HG876" s="353"/>
      <c r="HH876" s="353"/>
      <c r="HI876" s="353"/>
      <c r="HJ876" s="353"/>
      <c r="HK876" s="353"/>
      <c r="HL876" s="353"/>
      <c r="HM876" s="353"/>
      <c r="HN876" s="353"/>
      <c r="HO876" s="353"/>
      <c r="HP876" s="353"/>
      <c r="HQ876" s="353"/>
      <c r="HR876" s="353"/>
    </row>
    <row r="877" spans="1:226" s="354" customFormat="1" ht="15" hidden="1" customHeight="1">
      <c r="A877" s="1557"/>
      <c r="B877" s="1560"/>
      <c r="C877" s="1563"/>
      <c r="D877" s="1566"/>
      <c r="E877" s="358" t="s">
        <v>471</v>
      </c>
      <c r="F877" s="359">
        <f t="shared" ref="F877:F882" si="70">SUM(G877:J877)</f>
        <v>0</v>
      </c>
      <c r="G877" s="359"/>
      <c r="H877" s="359"/>
      <c r="I877" s="359"/>
      <c r="J877" s="360"/>
      <c r="K877" s="353"/>
    </row>
    <row r="878" spans="1:226" s="354" customFormat="1" ht="15" customHeight="1">
      <c r="A878" s="1557"/>
      <c r="B878" s="1560"/>
      <c r="C878" s="1563"/>
      <c r="D878" s="1566"/>
      <c r="E878" s="411">
        <v>6057</v>
      </c>
      <c r="F878" s="412">
        <f t="shared" si="70"/>
        <v>4845000</v>
      </c>
      <c r="G878" s="412"/>
      <c r="H878" s="412">
        <v>4845000</v>
      </c>
      <c r="I878" s="412"/>
      <c r="J878" s="413"/>
      <c r="K878" s="353"/>
    </row>
    <row r="879" spans="1:226" s="354" customFormat="1" ht="15" customHeight="1">
      <c r="A879" s="1557"/>
      <c r="B879" s="1560"/>
      <c r="C879" s="1563"/>
      <c r="D879" s="1566"/>
      <c r="E879" s="411">
        <v>6059</v>
      </c>
      <c r="F879" s="412">
        <f t="shared" si="70"/>
        <v>855000</v>
      </c>
      <c r="G879" s="412">
        <v>855000</v>
      </c>
      <c r="H879" s="412"/>
      <c r="I879" s="412"/>
      <c r="J879" s="413"/>
      <c r="K879" s="353"/>
    </row>
    <row r="880" spans="1:226" s="354" customFormat="1" ht="15" hidden="1" customHeight="1">
      <c r="A880" s="1557"/>
      <c r="B880" s="1560"/>
      <c r="C880" s="1563"/>
      <c r="D880" s="1566"/>
      <c r="E880" s="411">
        <v>6060</v>
      </c>
      <c r="F880" s="412">
        <f t="shared" si="70"/>
        <v>0</v>
      </c>
      <c r="G880" s="412"/>
      <c r="H880" s="412"/>
      <c r="I880" s="412"/>
      <c r="J880" s="413"/>
      <c r="K880" s="353"/>
    </row>
    <row r="881" spans="1:226" s="354" customFormat="1" ht="15" customHeight="1">
      <c r="A881" s="1557"/>
      <c r="B881" s="1560"/>
      <c r="C881" s="1563"/>
      <c r="D881" s="1566"/>
      <c r="E881" s="363" t="s">
        <v>408</v>
      </c>
      <c r="F881" s="412">
        <f t="shared" si="70"/>
        <v>425000</v>
      </c>
      <c r="G881" s="412"/>
      <c r="H881" s="412">
        <v>425000</v>
      </c>
      <c r="I881" s="412"/>
      <c r="J881" s="413"/>
      <c r="K881" s="353"/>
    </row>
    <row r="882" spans="1:226" s="354" customFormat="1" ht="15" customHeight="1">
      <c r="A882" s="1558"/>
      <c r="B882" s="1561"/>
      <c r="C882" s="1564"/>
      <c r="D882" s="1567"/>
      <c r="E882" s="411">
        <v>6069</v>
      </c>
      <c r="F882" s="412">
        <f t="shared" si="70"/>
        <v>75000</v>
      </c>
      <c r="G882" s="412">
        <v>75000</v>
      </c>
      <c r="H882" s="412"/>
      <c r="I882" s="412"/>
      <c r="J882" s="413"/>
      <c r="K882" s="353"/>
    </row>
    <row r="883" spans="1:226" s="354" customFormat="1" ht="22.5">
      <c r="A883" s="1556" t="s">
        <v>457</v>
      </c>
      <c r="B883" s="1559" t="s">
        <v>495</v>
      </c>
      <c r="C883" s="1562">
        <v>600</v>
      </c>
      <c r="D883" s="1565" t="s">
        <v>470</v>
      </c>
      <c r="E883" s="350" t="s">
        <v>315</v>
      </c>
      <c r="F883" s="351">
        <f>SUM(F884,F891)</f>
        <v>13325504</v>
      </c>
      <c r="G883" s="351">
        <f>SUM(G884,G891)</f>
        <v>4930716</v>
      </c>
      <c r="H883" s="351">
        <f>SUM(H884,H891)</f>
        <v>8394788</v>
      </c>
      <c r="I883" s="351">
        <f>SUM(I884,I891)</f>
        <v>0</v>
      </c>
      <c r="J883" s="352">
        <f>SUM(J884,J891)</f>
        <v>0</v>
      </c>
      <c r="K883" s="353"/>
    </row>
    <row r="884" spans="1:226" s="354" customFormat="1" ht="16.5" customHeight="1">
      <c r="A884" s="1557"/>
      <c r="B884" s="1560"/>
      <c r="C884" s="1563"/>
      <c r="D884" s="1566"/>
      <c r="E884" s="355" t="s">
        <v>316</v>
      </c>
      <c r="F884" s="356">
        <f>SUM(F885,F888)</f>
        <v>0</v>
      </c>
      <c r="G884" s="356">
        <f>SUM(G885,G888)</f>
        <v>0</v>
      </c>
      <c r="H884" s="356">
        <f>SUM(H885,H888)</f>
        <v>0</v>
      </c>
      <c r="I884" s="356">
        <f>SUM(I885,I888)</f>
        <v>0</v>
      </c>
      <c r="J884" s="357">
        <f>SUM(J885,J888)</f>
        <v>0</v>
      </c>
      <c r="K884" s="353"/>
    </row>
    <row r="885" spans="1:226" s="354" customFormat="1" ht="24.95" hidden="1" customHeight="1">
      <c r="A885" s="1557"/>
      <c r="B885" s="1560"/>
      <c r="C885" s="1563"/>
      <c r="D885" s="1566"/>
      <c r="E885" s="393" t="s">
        <v>333</v>
      </c>
      <c r="F885" s="394">
        <f>SUM(F886:F887)</f>
        <v>0</v>
      </c>
      <c r="G885" s="394">
        <f>SUM(G886:G887)</f>
        <v>0</v>
      </c>
      <c r="H885" s="394">
        <f>SUM(H886:H887)</f>
        <v>0</v>
      </c>
      <c r="I885" s="394">
        <f>SUM(I886:I887)</f>
        <v>0</v>
      </c>
      <c r="J885" s="395">
        <f>SUM(J886:J887)</f>
        <v>0</v>
      </c>
      <c r="K885" s="353"/>
    </row>
    <row r="886" spans="1:226" s="354" customFormat="1" ht="15" hidden="1" customHeight="1">
      <c r="A886" s="1557"/>
      <c r="B886" s="1560"/>
      <c r="C886" s="1563"/>
      <c r="D886" s="1566"/>
      <c r="E886" s="358"/>
      <c r="F886" s="359">
        <f>SUM(G886:J886)</f>
        <v>0</v>
      </c>
      <c r="G886" s="359"/>
      <c r="H886" s="359"/>
      <c r="I886" s="359"/>
      <c r="J886" s="360"/>
      <c r="K886" s="353"/>
    </row>
    <row r="887" spans="1:226" s="354" customFormat="1" ht="15" hidden="1" customHeight="1">
      <c r="A887" s="1557"/>
      <c r="B887" s="1560"/>
      <c r="C887" s="1563"/>
      <c r="D887" s="1566"/>
      <c r="E887" s="358"/>
      <c r="F887" s="359">
        <f>SUM(G887:J887)</f>
        <v>0</v>
      </c>
      <c r="G887" s="359"/>
      <c r="H887" s="359"/>
      <c r="I887" s="359"/>
      <c r="J887" s="360"/>
      <c r="K887" s="353"/>
    </row>
    <row r="888" spans="1:226" s="354" customFormat="1" ht="24.95" hidden="1" customHeight="1">
      <c r="A888" s="1557"/>
      <c r="B888" s="1560"/>
      <c r="C888" s="1563"/>
      <c r="D888" s="1566"/>
      <c r="E888" s="393" t="s">
        <v>338</v>
      </c>
      <c r="F888" s="394">
        <f>SUM(F889:F890)</f>
        <v>0</v>
      </c>
      <c r="G888" s="394">
        <f>SUM(G889:G890)</f>
        <v>0</v>
      </c>
      <c r="H888" s="394">
        <f>SUM(H889:H890)</f>
        <v>0</v>
      </c>
      <c r="I888" s="394">
        <f>SUM(I889:I890)</f>
        <v>0</v>
      </c>
      <c r="J888" s="395">
        <f>SUM(J889:J890)</f>
        <v>0</v>
      </c>
      <c r="K888" s="353"/>
    </row>
    <row r="889" spans="1:226" s="354" customFormat="1" ht="15" hidden="1" customHeight="1">
      <c r="A889" s="1557"/>
      <c r="B889" s="1560"/>
      <c r="C889" s="1563"/>
      <c r="D889" s="1566"/>
      <c r="E889" s="358"/>
      <c r="F889" s="359">
        <f>SUM(G889:J889)</f>
        <v>0</v>
      </c>
      <c r="G889" s="359"/>
      <c r="H889" s="359"/>
      <c r="I889" s="359"/>
      <c r="J889" s="360"/>
      <c r="K889" s="353"/>
    </row>
    <row r="890" spans="1:226" s="354" customFormat="1" ht="15" hidden="1" customHeight="1">
      <c r="A890" s="1557"/>
      <c r="B890" s="1560"/>
      <c r="C890" s="1563"/>
      <c r="D890" s="1566"/>
      <c r="E890" s="358"/>
      <c r="F890" s="359">
        <f>SUM(G890:J890)</f>
        <v>0</v>
      </c>
      <c r="G890" s="359"/>
      <c r="H890" s="359"/>
      <c r="I890" s="359"/>
      <c r="J890" s="360"/>
      <c r="K890" s="353"/>
    </row>
    <row r="891" spans="1:226" s="354" customFormat="1" ht="17.25" customHeight="1">
      <c r="A891" s="1557"/>
      <c r="B891" s="1560"/>
      <c r="C891" s="1563"/>
      <c r="D891" s="1566"/>
      <c r="E891" s="361" t="s">
        <v>318</v>
      </c>
      <c r="F891" s="356">
        <f>SUM(F892:F897)</f>
        <v>13325504</v>
      </c>
      <c r="G891" s="356">
        <f>SUM(G892:G897)</f>
        <v>4930716</v>
      </c>
      <c r="H891" s="356">
        <f>SUM(H892:H897)</f>
        <v>8394788</v>
      </c>
      <c r="I891" s="356">
        <f>SUM(I892:I897)</f>
        <v>0</v>
      </c>
      <c r="J891" s="357">
        <f>SUM(J892:J897)</f>
        <v>0</v>
      </c>
      <c r="K891" s="353"/>
      <c r="L891" s="353"/>
      <c r="M891" s="353"/>
      <c r="N891" s="353"/>
      <c r="O891" s="353"/>
      <c r="P891" s="353"/>
      <c r="Q891" s="353"/>
      <c r="R891" s="353"/>
      <c r="S891" s="353"/>
      <c r="T891" s="353"/>
      <c r="U891" s="353"/>
      <c r="V891" s="353"/>
      <c r="W891" s="353"/>
      <c r="X891" s="353"/>
      <c r="Y891" s="353"/>
      <c r="Z891" s="353"/>
      <c r="AA891" s="353"/>
      <c r="AB891" s="353"/>
      <c r="AC891" s="353"/>
      <c r="AD891" s="353"/>
      <c r="AE891" s="353"/>
      <c r="AF891" s="353"/>
      <c r="AG891" s="353"/>
      <c r="AH891" s="353"/>
      <c r="AI891" s="353"/>
      <c r="AJ891" s="353"/>
      <c r="AK891" s="353"/>
      <c r="AL891" s="353"/>
      <c r="AM891" s="353"/>
      <c r="AN891" s="353"/>
      <c r="AO891" s="353"/>
      <c r="AP891" s="353"/>
      <c r="AQ891" s="353"/>
      <c r="AR891" s="353"/>
      <c r="AS891" s="353"/>
      <c r="AT891" s="353"/>
      <c r="AU891" s="353"/>
      <c r="AV891" s="353"/>
      <c r="AW891" s="353"/>
      <c r="AX891" s="353"/>
      <c r="AY891" s="353"/>
      <c r="AZ891" s="353"/>
      <c r="BA891" s="353"/>
      <c r="BB891" s="353"/>
      <c r="BC891" s="353"/>
      <c r="BD891" s="353"/>
      <c r="BE891" s="353"/>
      <c r="BF891" s="353"/>
      <c r="BG891" s="353"/>
      <c r="BH891" s="353"/>
      <c r="BI891" s="353"/>
      <c r="BJ891" s="353"/>
      <c r="BK891" s="353"/>
      <c r="BL891" s="353"/>
      <c r="BM891" s="353"/>
      <c r="BN891" s="353"/>
      <c r="BO891" s="353"/>
      <c r="BP891" s="353"/>
      <c r="BQ891" s="353"/>
      <c r="BR891" s="353"/>
      <c r="BS891" s="353"/>
      <c r="BT891" s="353"/>
      <c r="BU891" s="353"/>
      <c r="BV891" s="353"/>
      <c r="BW891" s="353"/>
      <c r="BX891" s="353"/>
      <c r="BY891" s="353"/>
      <c r="BZ891" s="353"/>
      <c r="CA891" s="353"/>
      <c r="CB891" s="353"/>
      <c r="CC891" s="353"/>
      <c r="CD891" s="353"/>
      <c r="CE891" s="353"/>
      <c r="CF891" s="353"/>
      <c r="CG891" s="353"/>
      <c r="CH891" s="353"/>
      <c r="CI891" s="353"/>
      <c r="CJ891" s="353"/>
      <c r="CK891" s="353"/>
      <c r="CL891" s="353"/>
      <c r="CM891" s="353"/>
      <c r="CN891" s="353"/>
      <c r="CO891" s="353"/>
      <c r="CP891" s="353"/>
      <c r="CQ891" s="353"/>
      <c r="CR891" s="353"/>
      <c r="CS891" s="353"/>
      <c r="CT891" s="353"/>
      <c r="CU891" s="353"/>
      <c r="CV891" s="353"/>
      <c r="CW891" s="353"/>
      <c r="CX891" s="353"/>
      <c r="CY891" s="353"/>
      <c r="CZ891" s="353"/>
      <c r="DA891" s="353"/>
      <c r="DB891" s="353"/>
      <c r="DC891" s="353"/>
      <c r="DD891" s="353"/>
      <c r="DE891" s="353"/>
      <c r="DF891" s="353"/>
      <c r="DG891" s="353"/>
      <c r="DH891" s="353"/>
      <c r="DI891" s="353"/>
      <c r="DJ891" s="353"/>
      <c r="DK891" s="353"/>
      <c r="DL891" s="353"/>
      <c r="DM891" s="353"/>
      <c r="DN891" s="353"/>
      <c r="DO891" s="353"/>
      <c r="DP891" s="353"/>
      <c r="DQ891" s="353"/>
      <c r="DR891" s="353"/>
      <c r="DS891" s="353"/>
      <c r="DT891" s="353"/>
      <c r="DU891" s="353"/>
      <c r="DV891" s="353"/>
      <c r="DW891" s="353"/>
      <c r="DX891" s="353"/>
      <c r="DY891" s="353"/>
      <c r="DZ891" s="353"/>
      <c r="EA891" s="353"/>
      <c r="EB891" s="353"/>
      <c r="EC891" s="353"/>
      <c r="ED891" s="353"/>
      <c r="EE891" s="353"/>
      <c r="EF891" s="353"/>
      <c r="EG891" s="353"/>
      <c r="EH891" s="353"/>
      <c r="EI891" s="353"/>
      <c r="EJ891" s="353"/>
      <c r="EK891" s="353"/>
      <c r="EL891" s="353"/>
      <c r="EM891" s="353"/>
      <c r="EN891" s="353"/>
      <c r="EO891" s="353"/>
      <c r="EP891" s="353"/>
      <c r="EQ891" s="353"/>
      <c r="ER891" s="353"/>
      <c r="ES891" s="353"/>
      <c r="ET891" s="353"/>
      <c r="EU891" s="353"/>
      <c r="EV891" s="353"/>
      <c r="EW891" s="353"/>
      <c r="EX891" s="353"/>
      <c r="EY891" s="353"/>
      <c r="EZ891" s="353"/>
      <c r="FA891" s="353"/>
      <c r="FB891" s="353"/>
      <c r="FC891" s="353"/>
      <c r="FD891" s="353"/>
      <c r="FE891" s="353"/>
      <c r="FF891" s="353"/>
      <c r="FG891" s="353"/>
      <c r="FH891" s="353"/>
      <c r="FI891" s="353"/>
      <c r="FJ891" s="353"/>
      <c r="FK891" s="353"/>
      <c r="FL891" s="353"/>
      <c r="FM891" s="353"/>
      <c r="FN891" s="353"/>
      <c r="FO891" s="353"/>
      <c r="FP891" s="353"/>
      <c r="FQ891" s="353"/>
      <c r="FR891" s="353"/>
      <c r="FS891" s="353"/>
      <c r="FT891" s="353"/>
      <c r="FU891" s="353"/>
      <c r="FV891" s="353"/>
      <c r="FW891" s="353"/>
      <c r="FX891" s="353"/>
      <c r="FY891" s="353"/>
      <c r="FZ891" s="353"/>
      <c r="GA891" s="353"/>
      <c r="GB891" s="353"/>
      <c r="GC891" s="353"/>
      <c r="GD891" s="353"/>
      <c r="GE891" s="353"/>
      <c r="GF891" s="353"/>
      <c r="GG891" s="353"/>
      <c r="GH891" s="353"/>
      <c r="GI891" s="353"/>
      <c r="GJ891" s="353"/>
      <c r="GK891" s="353"/>
      <c r="GL891" s="353"/>
      <c r="GM891" s="353"/>
      <c r="GN891" s="353"/>
      <c r="GO891" s="353"/>
      <c r="GP891" s="353"/>
      <c r="GQ891" s="353"/>
      <c r="GR891" s="353"/>
      <c r="GS891" s="353"/>
      <c r="GT891" s="353"/>
      <c r="GU891" s="353"/>
      <c r="GV891" s="353"/>
      <c r="GW891" s="353"/>
      <c r="GX891" s="353"/>
      <c r="GY891" s="353"/>
      <c r="GZ891" s="353"/>
      <c r="HA891" s="353"/>
      <c r="HB891" s="353"/>
      <c r="HC891" s="353"/>
      <c r="HD891" s="353"/>
      <c r="HE891" s="353"/>
      <c r="HF891" s="353"/>
      <c r="HG891" s="353"/>
      <c r="HH891" s="353"/>
      <c r="HI891" s="353"/>
      <c r="HJ891" s="353"/>
      <c r="HK891" s="353"/>
      <c r="HL891" s="353"/>
      <c r="HM891" s="353"/>
      <c r="HN891" s="353"/>
      <c r="HO891" s="353"/>
      <c r="HP891" s="353"/>
      <c r="HQ891" s="353"/>
      <c r="HR891" s="353"/>
    </row>
    <row r="892" spans="1:226" s="354" customFormat="1" ht="15" customHeight="1">
      <c r="A892" s="1557"/>
      <c r="B892" s="1560"/>
      <c r="C892" s="1563"/>
      <c r="D892" s="1566"/>
      <c r="E892" s="358" t="s">
        <v>471</v>
      </c>
      <c r="F892" s="359">
        <f t="shared" ref="F892:F897" si="71">SUM(G892:J892)</f>
        <v>108592</v>
      </c>
      <c r="G892" s="359">
        <v>108592</v>
      </c>
      <c r="H892" s="359"/>
      <c r="I892" s="359"/>
      <c r="J892" s="360"/>
      <c r="K892" s="353"/>
    </row>
    <row r="893" spans="1:226" s="354" customFormat="1" ht="15" customHeight="1">
      <c r="A893" s="1557"/>
      <c r="B893" s="1560"/>
      <c r="C893" s="1563"/>
      <c r="D893" s="1566"/>
      <c r="E893" s="411">
        <v>6057</v>
      </c>
      <c r="F893" s="412">
        <f t="shared" si="71"/>
        <v>8259374</v>
      </c>
      <c r="G893" s="412"/>
      <c r="H893" s="412">
        <v>8259374</v>
      </c>
      <c r="I893" s="412"/>
      <c r="J893" s="413"/>
      <c r="K893" s="353"/>
    </row>
    <row r="894" spans="1:226" s="354" customFormat="1" ht="15" customHeight="1">
      <c r="A894" s="1557"/>
      <c r="B894" s="1560"/>
      <c r="C894" s="1563"/>
      <c r="D894" s="1566"/>
      <c r="E894" s="411">
        <v>6059</v>
      </c>
      <c r="F894" s="412">
        <f t="shared" si="71"/>
        <v>1457537</v>
      </c>
      <c r="G894" s="412">
        <v>1457537</v>
      </c>
      <c r="H894" s="412"/>
      <c r="I894" s="412"/>
      <c r="J894" s="413"/>
      <c r="K894" s="353"/>
    </row>
    <row r="895" spans="1:226" s="354" customFormat="1" ht="15" customHeight="1">
      <c r="A895" s="1557"/>
      <c r="B895" s="1560"/>
      <c r="C895" s="1563"/>
      <c r="D895" s="1566"/>
      <c r="E895" s="411">
        <v>6060</v>
      </c>
      <c r="F895" s="412">
        <f t="shared" si="71"/>
        <v>3340690</v>
      </c>
      <c r="G895" s="412">
        <v>3340690</v>
      </c>
      <c r="H895" s="412"/>
      <c r="I895" s="412"/>
      <c r="J895" s="413"/>
      <c r="K895" s="353"/>
    </row>
    <row r="896" spans="1:226" s="354" customFormat="1" ht="15" customHeight="1">
      <c r="A896" s="1557"/>
      <c r="B896" s="1560"/>
      <c r="C896" s="1563"/>
      <c r="D896" s="1566"/>
      <c r="E896" s="363" t="s">
        <v>408</v>
      </c>
      <c r="F896" s="412">
        <f t="shared" si="71"/>
        <v>135414</v>
      </c>
      <c r="G896" s="412"/>
      <c r="H896" s="412">
        <v>135414</v>
      </c>
      <c r="I896" s="412"/>
      <c r="J896" s="413"/>
      <c r="K896" s="353"/>
    </row>
    <row r="897" spans="1:226" s="354" customFormat="1" ht="15" customHeight="1">
      <c r="A897" s="1558"/>
      <c r="B897" s="1561"/>
      <c r="C897" s="1564"/>
      <c r="D897" s="1567"/>
      <c r="E897" s="411">
        <v>6069</v>
      </c>
      <c r="F897" s="412">
        <f t="shared" si="71"/>
        <v>23897</v>
      </c>
      <c r="G897" s="412">
        <v>23897</v>
      </c>
      <c r="H897" s="412"/>
      <c r="I897" s="412"/>
      <c r="J897" s="413"/>
      <c r="K897" s="353"/>
    </row>
    <row r="898" spans="1:226" s="354" customFormat="1" ht="22.5">
      <c r="A898" s="1556" t="s">
        <v>462</v>
      </c>
      <c r="B898" s="1559" t="s">
        <v>496</v>
      </c>
      <c r="C898" s="1562">
        <v>600</v>
      </c>
      <c r="D898" s="1565" t="s">
        <v>470</v>
      </c>
      <c r="E898" s="350" t="s">
        <v>315</v>
      </c>
      <c r="F898" s="351">
        <f>SUM(F899,F906)</f>
        <v>10000000</v>
      </c>
      <c r="G898" s="351">
        <f>SUM(G899,G906)</f>
        <v>10000000</v>
      </c>
      <c r="H898" s="351">
        <f>SUM(H899,H906)</f>
        <v>0</v>
      </c>
      <c r="I898" s="351">
        <f>SUM(I899,I906)</f>
        <v>0</v>
      </c>
      <c r="J898" s="352">
        <f>SUM(J899,J906)</f>
        <v>0</v>
      </c>
      <c r="K898" s="353"/>
    </row>
    <row r="899" spans="1:226" s="354" customFormat="1" ht="16.5" customHeight="1">
      <c r="A899" s="1557"/>
      <c r="B899" s="1560"/>
      <c r="C899" s="1563"/>
      <c r="D899" s="1566"/>
      <c r="E899" s="355" t="s">
        <v>316</v>
      </c>
      <c r="F899" s="356">
        <f>SUM(F900,F903)</f>
        <v>0</v>
      </c>
      <c r="G899" s="356">
        <f>SUM(G900,G903)</f>
        <v>0</v>
      </c>
      <c r="H899" s="356">
        <f>SUM(H900,H903)</f>
        <v>0</v>
      </c>
      <c r="I899" s="356">
        <f>SUM(I900,I903)</f>
        <v>0</v>
      </c>
      <c r="J899" s="357">
        <f>SUM(J900,J903)</f>
        <v>0</v>
      </c>
      <c r="K899" s="353"/>
    </row>
    <row r="900" spans="1:226" s="354" customFormat="1" ht="24.95" hidden="1" customHeight="1">
      <c r="A900" s="1557"/>
      <c r="B900" s="1560"/>
      <c r="C900" s="1563"/>
      <c r="D900" s="1566"/>
      <c r="E900" s="393" t="s">
        <v>333</v>
      </c>
      <c r="F900" s="394">
        <f>SUM(F901:F902)</f>
        <v>0</v>
      </c>
      <c r="G900" s="394">
        <f>SUM(G901:G902)</f>
        <v>0</v>
      </c>
      <c r="H900" s="394">
        <f>SUM(H901:H902)</f>
        <v>0</v>
      </c>
      <c r="I900" s="394">
        <f>SUM(I901:I902)</f>
        <v>0</v>
      </c>
      <c r="J900" s="395">
        <f>SUM(J901:J902)</f>
        <v>0</v>
      </c>
      <c r="K900" s="353"/>
    </row>
    <row r="901" spans="1:226" s="354" customFormat="1" ht="15" hidden="1" customHeight="1">
      <c r="A901" s="1557"/>
      <c r="B901" s="1560"/>
      <c r="C901" s="1563"/>
      <c r="D901" s="1566"/>
      <c r="E901" s="358"/>
      <c r="F901" s="359">
        <f>SUM(G901:J901)</f>
        <v>0</v>
      </c>
      <c r="G901" s="359"/>
      <c r="H901" s="359"/>
      <c r="I901" s="359"/>
      <c r="J901" s="360"/>
      <c r="K901" s="353"/>
    </row>
    <row r="902" spans="1:226" s="354" customFormat="1" ht="15" hidden="1" customHeight="1">
      <c r="A902" s="1557"/>
      <c r="B902" s="1560"/>
      <c r="C902" s="1563"/>
      <c r="D902" s="1566"/>
      <c r="E902" s="358"/>
      <c r="F902" s="359">
        <f>SUM(G902:J902)</f>
        <v>0</v>
      </c>
      <c r="G902" s="359"/>
      <c r="H902" s="359"/>
      <c r="I902" s="359"/>
      <c r="J902" s="360"/>
      <c r="K902" s="353"/>
    </row>
    <row r="903" spans="1:226" s="354" customFormat="1" ht="24.95" hidden="1" customHeight="1">
      <c r="A903" s="1557"/>
      <c r="B903" s="1560"/>
      <c r="C903" s="1563"/>
      <c r="D903" s="1566"/>
      <c r="E903" s="393" t="s">
        <v>338</v>
      </c>
      <c r="F903" s="394">
        <f>SUM(F904:F905)</f>
        <v>0</v>
      </c>
      <c r="G903" s="394">
        <f>SUM(G904:G905)</f>
        <v>0</v>
      </c>
      <c r="H903" s="394">
        <f>SUM(H904:H905)</f>
        <v>0</v>
      </c>
      <c r="I903" s="394">
        <f>SUM(I904:I905)</f>
        <v>0</v>
      </c>
      <c r="J903" s="395">
        <f>SUM(J904:J905)</f>
        <v>0</v>
      </c>
      <c r="K903" s="353"/>
    </row>
    <row r="904" spans="1:226" s="354" customFormat="1" ht="15" hidden="1" customHeight="1">
      <c r="A904" s="1557"/>
      <c r="B904" s="1560"/>
      <c r="C904" s="1563"/>
      <c r="D904" s="1566"/>
      <c r="E904" s="358"/>
      <c r="F904" s="359">
        <f>SUM(G904:J904)</f>
        <v>0</v>
      </c>
      <c r="G904" s="359"/>
      <c r="H904" s="359"/>
      <c r="I904" s="359"/>
      <c r="J904" s="360"/>
      <c r="K904" s="353"/>
    </row>
    <row r="905" spans="1:226" s="354" customFormat="1" ht="15" hidden="1" customHeight="1">
      <c r="A905" s="1557"/>
      <c r="B905" s="1560"/>
      <c r="C905" s="1563"/>
      <c r="D905" s="1566"/>
      <c r="E905" s="358"/>
      <c r="F905" s="359">
        <f>SUM(G905:J905)</f>
        <v>0</v>
      </c>
      <c r="G905" s="359"/>
      <c r="H905" s="359"/>
      <c r="I905" s="359"/>
      <c r="J905" s="360"/>
      <c r="K905" s="353"/>
    </row>
    <row r="906" spans="1:226" s="354" customFormat="1" ht="17.25" customHeight="1">
      <c r="A906" s="1557"/>
      <c r="B906" s="1560"/>
      <c r="C906" s="1563"/>
      <c r="D906" s="1566"/>
      <c r="E906" s="361" t="s">
        <v>318</v>
      </c>
      <c r="F906" s="356">
        <f>SUM(F907:F912)</f>
        <v>10000000</v>
      </c>
      <c r="G906" s="356">
        <f>SUM(G907:G912)</f>
        <v>10000000</v>
      </c>
      <c r="H906" s="356">
        <f>SUM(H907:H912)</f>
        <v>0</v>
      </c>
      <c r="I906" s="356">
        <f>SUM(I907:I912)</f>
        <v>0</v>
      </c>
      <c r="J906" s="357">
        <f>SUM(J907:J912)</f>
        <v>0</v>
      </c>
      <c r="K906" s="353"/>
      <c r="L906" s="353"/>
      <c r="M906" s="353"/>
      <c r="N906" s="353"/>
      <c r="O906" s="353"/>
      <c r="P906" s="353"/>
      <c r="Q906" s="353"/>
      <c r="R906" s="353"/>
      <c r="S906" s="353"/>
      <c r="T906" s="353"/>
      <c r="U906" s="353"/>
      <c r="V906" s="353"/>
      <c r="W906" s="353"/>
      <c r="X906" s="353"/>
      <c r="Y906" s="353"/>
      <c r="Z906" s="353"/>
      <c r="AA906" s="353"/>
      <c r="AB906" s="353"/>
      <c r="AC906" s="353"/>
      <c r="AD906" s="353"/>
      <c r="AE906" s="353"/>
      <c r="AF906" s="353"/>
      <c r="AG906" s="353"/>
      <c r="AH906" s="353"/>
      <c r="AI906" s="353"/>
      <c r="AJ906" s="353"/>
      <c r="AK906" s="353"/>
      <c r="AL906" s="353"/>
      <c r="AM906" s="353"/>
      <c r="AN906" s="353"/>
      <c r="AO906" s="353"/>
      <c r="AP906" s="353"/>
      <c r="AQ906" s="353"/>
      <c r="AR906" s="353"/>
      <c r="AS906" s="353"/>
      <c r="AT906" s="353"/>
      <c r="AU906" s="353"/>
      <c r="AV906" s="353"/>
      <c r="AW906" s="353"/>
      <c r="AX906" s="353"/>
      <c r="AY906" s="353"/>
      <c r="AZ906" s="353"/>
      <c r="BA906" s="353"/>
      <c r="BB906" s="353"/>
      <c r="BC906" s="353"/>
      <c r="BD906" s="353"/>
      <c r="BE906" s="353"/>
      <c r="BF906" s="353"/>
      <c r="BG906" s="353"/>
      <c r="BH906" s="353"/>
      <c r="BI906" s="353"/>
      <c r="BJ906" s="353"/>
      <c r="BK906" s="353"/>
      <c r="BL906" s="353"/>
      <c r="BM906" s="353"/>
      <c r="BN906" s="353"/>
      <c r="BO906" s="353"/>
      <c r="BP906" s="353"/>
      <c r="BQ906" s="353"/>
      <c r="BR906" s="353"/>
      <c r="BS906" s="353"/>
      <c r="BT906" s="353"/>
      <c r="BU906" s="353"/>
      <c r="BV906" s="353"/>
      <c r="BW906" s="353"/>
      <c r="BX906" s="353"/>
      <c r="BY906" s="353"/>
      <c r="BZ906" s="353"/>
      <c r="CA906" s="353"/>
      <c r="CB906" s="353"/>
      <c r="CC906" s="353"/>
      <c r="CD906" s="353"/>
      <c r="CE906" s="353"/>
      <c r="CF906" s="353"/>
      <c r="CG906" s="353"/>
      <c r="CH906" s="353"/>
      <c r="CI906" s="353"/>
      <c r="CJ906" s="353"/>
      <c r="CK906" s="353"/>
      <c r="CL906" s="353"/>
      <c r="CM906" s="353"/>
      <c r="CN906" s="353"/>
      <c r="CO906" s="353"/>
      <c r="CP906" s="353"/>
      <c r="CQ906" s="353"/>
      <c r="CR906" s="353"/>
      <c r="CS906" s="353"/>
      <c r="CT906" s="353"/>
      <c r="CU906" s="353"/>
      <c r="CV906" s="353"/>
      <c r="CW906" s="353"/>
      <c r="CX906" s="353"/>
      <c r="CY906" s="353"/>
      <c r="CZ906" s="353"/>
      <c r="DA906" s="353"/>
      <c r="DB906" s="353"/>
      <c r="DC906" s="353"/>
      <c r="DD906" s="353"/>
      <c r="DE906" s="353"/>
      <c r="DF906" s="353"/>
      <c r="DG906" s="353"/>
      <c r="DH906" s="353"/>
      <c r="DI906" s="353"/>
      <c r="DJ906" s="353"/>
      <c r="DK906" s="353"/>
      <c r="DL906" s="353"/>
      <c r="DM906" s="353"/>
      <c r="DN906" s="353"/>
      <c r="DO906" s="353"/>
      <c r="DP906" s="353"/>
      <c r="DQ906" s="353"/>
      <c r="DR906" s="353"/>
      <c r="DS906" s="353"/>
      <c r="DT906" s="353"/>
      <c r="DU906" s="353"/>
      <c r="DV906" s="353"/>
      <c r="DW906" s="353"/>
      <c r="DX906" s="353"/>
      <c r="DY906" s="353"/>
      <c r="DZ906" s="353"/>
      <c r="EA906" s="353"/>
      <c r="EB906" s="353"/>
      <c r="EC906" s="353"/>
      <c r="ED906" s="353"/>
      <c r="EE906" s="353"/>
      <c r="EF906" s="353"/>
      <c r="EG906" s="353"/>
      <c r="EH906" s="353"/>
      <c r="EI906" s="353"/>
      <c r="EJ906" s="353"/>
      <c r="EK906" s="353"/>
      <c r="EL906" s="353"/>
      <c r="EM906" s="353"/>
      <c r="EN906" s="353"/>
      <c r="EO906" s="353"/>
      <c r="EP906" s="353"/>
      <c r="EQ906" s="353"/>
      <c r="ER906" s="353"/>
      <c r="ES906" s="353"/>
      <c r="ET906" s="353"/>
      <c r="EU906" s="353"/>
      <c r="EV906" s="353"/>
      <c r="EW906" s="353"/>
      <c r="EX906" s="353"/>
      <c r="EY906" s="353"/>
      <c r="EZ906" s="353"/>
      <c r="FA906" s="353"/>
      <c r="FB906" s="353"/>
      <c r="FC906" s="353"/>
      <c r="FD906" s="353"/>
      <c r="FE906" s="353"/>
      <c r="FF906" s="353"/>
      <c r="FG906" s="353"/>
      <c r="FH906" s="353"/>
      <c r="FI906" s="353"/>
      <c r="FJ906" s="353"/>
      <c r="FK906" s="353"/>
      <c r="FL906" s="353"/>
      <c r="FM906" s="353"/>
      <c r="FN906" s="353"/>
      <c r="FO906" s="353"/>
      <c r="FP906" s="353"/>
      <c r="FQ906" s="353"/>
      <c r="FR906" s="353"/>
      <c r="FS906" s="353"/>
      <c r="FT906" s="353"/>
      <c r="FU906" s="353"/>
      <c r="FV906" s="353"/>
      <c r="FW906" s="353"/>
      <c r="FX906" s="353"/>
      <c r="FY906" s="353"/>
      <c r="FZ906" s="353"/>
      <c r="GA906" s="353"/>
      <c r="GB906" s="353"/>
      <c r="GC906" s="353"/>
      <c r="GD906" s="353"/>
      <c r="GE906" s="353"/>
      <c r="GF906" s="353"/>
      <c r="GG906" s="353"/>
      <c r="GH906" s="353"/>
      <c r="GI906" s="353"/>
      <c r="GJ906" s="353"/>
      <c r="GK906" s="353"/>
      <c r="GL906" s="353"/>
      <c r="GM906" s="353"/>
      <c r="GN906" s="353"/>
      <c r="GO906" s="353"/>
      <c r="GP906" s="353"/>
      <c r="GQ906" s="353"/>
      <c r="GR906" s="353"/>
      <c r="GS906" s="353"/>
      <c r="GT906" s="353"/>
      <c r="GU906" s="353"/>
      <c r="GV906" s="353"/>
      <c r="GW906" s="353"/>
      <c r="GX906" s="353"/>
      <c r="GY906" s="353"/>
      <c r="GZ906" s="353"/>
      <c r="HA906" s="353"/>
      <c r="HB906" s="353"/>
      <c r="HC906" s="353"/>
      <c r="HD906" s="353"/>
      <c r="HE906" s="353"/>
      <c r="HF906" s="353"/>
      <c r="HG906" s="353"/>
      <c r="HH906" s="353"/>
      <c r="HI906" s="353"/>
      <c r="HJ906" s="353"/>
      <c r="HK906" s="353"/>
      <c r="HL906" s="353"/>
      <c r="HM906" s="353"/>
      <c r="HN906" s="353"/>
      <c r="HO906" s="353"/>
      <c r="HP906" s="353"/>
      <c r="HQ906" s="353"/>
      <c r="HR906" s="353"/>
    </row>
    <row r="907" spans="1:226" s="354" customFormat="1" ht="15" hidden="1" customHeight="1">
      <c r="A907" s="1557"/>
      <c r="B907" s="1560"/>
      <c r="C907" s="1563"/>
      <c r="D907" s="1566"/>
      <c r="E907" s="358" t="s">
        <v>471</v>
      </c>
      <c r="F907" s="359">
        <f t="shared" ref="F907:F912" si="72">SUM(G907:J907)</f>
        <v>0</v>
      </c>
      <c r="G907" s="359"/>
      <c r="H907" s="359"/>
      <c r="I907" s="359"/>
      <c r="J907" s="360"/>
      <c r="K907" s="353"/>
    </row>
    <row r="908" spans="1:226" s="354" customFormat="1" ht="15" customHeight="1">
      <c r="A908" s="1557"/>
      <c r="B908" s="1560"/>
      <c r="C908" s="1563"/>
      <c r="D908" s="1566"/>
      <c r="E908" s="411">
        <v>6058</v>
      </c>
      <c r="F908" s="412">
        <f t="shared" si="72"/>
        <v>8500000</v>
      </c>
      <c r="G908" s="412">
        <v>8500000</v>
      </c>
      <c r="H908" s="412"/>
      <c r="I908" s="412"/>
      <c r="J908" s="413"/>
      <c r="K908" s="353"/>
    </row>
    <row r="909" spans="1:226" s="354" customFormat="1" ht="15" customHeight="1" thickBot="1">
      <c r="A909" s="1557"/>
      <c r="B909" s="1560"/>
      <c r="C909" s="1563"/>
      <c r="D909" s="1566"/>
      <c r="E909" s="411">
        <v>6059</v>
      </c>
      <c r="F909" s="412">
        <f t="shared" si="72"/>
        <v>1500000</v>
      </c>
      <c r="G909" s="412">
        <v>1500000</v>
      </c>
      <c r="H909" s="412"/>
      <c r="I909" s="412"/>
      <c r="J909" s="413"/>
      <c r="K909" s="353"/>
    </row>
    <row r="910" spans="1:226" s="354" customFormat="1" ht="15" hidden="1" customHeight="1">
      <c r="A910" s="1557"/>
      <c r="B910" s="1560"/>
      <c r="C910" s="1563"/>
      <c r="D910" s="1566"/>
      <c r="E910" s="411">
        <v>6060</v>
      </c>
      <c r="F910" s="412">
        <f t="shared" si="72"/>
        <v>0</v>
      </c>
      <c r="G910" s="412"/>
      <c r="H910" s="412"/>
      <c r="I910" s="412"/>
      <c r="J910" s="413"/>
      <c r="K910" s="353"/>
    </row>
    <row r="911" spans="1:226" s="354" customFormat="1" ht="15" hidden="1" customHeight="1">
      <c r="A911" s="1557"/>
      <c r="B911" s="1560"/>
      <c r="C911" s="1563"/>
      <c r="D911" s="1566"/>
      <c r="E911" s="363" t="s">
        <v>380</v>
      </c>
      <c r="F911" s="412">
        <f t="shared" si="72"/>
        <v>0</v>
      </c>
      <c r="G911" s="412"/>
      <c r="H911" s="412"/>
      <c r="I911" s="412"/>
      <c r="J911" s="413"/>
      <c r="K911" s="353"/>
    </row>
    <row r="912" spans="1:226" s="354" customFormat="1" ht="15" hidden="1" customHeight="1" thickBot="1">
      <c r="A912" s="1558"/>
      <c r="B912" s="1561"/>
      <c r="C912" s="1564"/>
      <c r="D912" s="1567"/>
      <c r="E912" s="411">
        <v>6069</v>
      </c>
      <c r="F912" s="412">
        <f t="shared" si="72"/>
        <v>0</v>
      </c>
      <c r="G912" s="412"/>
      <c r="H912" s="412"/>
      <c r="I912" s="412"/>
      <c r="J912" s="413"/>
      <c r="K912" s="353"/>
    </row>
    <row r="913" spans="1:226" s="354" customFormat="1" ht="24.95" customHeight="1">
      <c r="A913" s="416" t="s">
        <v>497</v>
      </c>
      <c r="B913" s="1594" t="s">
        <v>498</v>
      </c>
      <c r="C913" s="1595"/>
      <c r="D913" s="1595"/>
      <c r="E913" s="1596"/>
      <c r="F913" s="417">
        <f>F915</f>
        <v>4385182</v>
      </c>
      <c r="G913" s="417">
        <f t="shared" ref="G913:J913" si="73">G915</f>
        <v>632216</v>
      </c>
      <c r="H913" s="417">
        <f t="shared" si="73"/>
        <v>3752966</v>
      </c>
      <c r="I913" s="417">
        <f t="shared" si="73"/>
        <v>0</v>
      </c>
      <c r="J913" s="418">
        <f t="shared" si="73"/>
        <v>0</v>
      </c>
      <c r="K913" s="353"/>
    </row>
    <row r="914" spans="1:226" s="354" customFormat="1" ht="15" customHeight="1">
      <c r="A914" s="1577"/>
      <c r="B914" s="1578"/>
      <c r="C914" s="1578"/>
      <c r="D914" s="1578"/>
      <c r="E914" s="1578"/>
      <c r="F914" s="1578"/>
      <c r="G914" s="1578"/>
      <c r="H914" s="1578"/>
      <c r="I914" s="1578"/>
      <c r="J914" s="1579"/>
      <c r="K914" s="353"/>
      <c r="L914" s="353"/>
      <c r="M914" s="353"/>
      <c r="N914" s="353"/>
      <c r="O914" s="353"/>
      <c r="P914" s="353"/>
      <c r="Q914" s="353"/>
      <c r="R914" s="353"/>
      <c r="S914" s="353"/>
      <c r="T914" s="353"/>
      <c r="U914" s="353"/>
      <c r="V914" s="353"/>
      <c r="W914" s="353"/>
      <c r="X914" s="353"/>
      <c r="Y914" s="353"/>
      <c r="Z914" s="353"/>
      <c r="AA914" s="353"/>
      <c r="AB914" s="353"/>
      <c r="AC914" s="353"/>
      <c r="AD914" s="353"/>
      <c r="AE914" s="353"/>
      <c r="AF914" s="353"/>
      <c r="AG914" s="353"/>
      <c r="AH914" s="353"/>
      <c r="AI914" s="353"/>
      <c r="AJ914" s="353"/>
      <c r="AK914" s="353"/>
      <c r="AL914" s="353"/>
      <c r="AM914" s="353"/>
      <c r="AN914" s="353"/>
      <c r="AO914" s="353"/>
      <c r="AP914" s="353"/>
      <c r="AQ914" s="353"/>
      <c r="AR914" s="353"/>
      <c r="AS914" s="353"/>
      <c r="AT914" s="353"/>
      <c r="AU914" s="353"/>
      <c r="AV914" s="353"/>
      <c r="AW914" s="353"/>
      <c r="AX914" s="353"/>
      <c r="AY914" s="353"/>
      <c r="AZ914" s="353"/>
      <c r="BA914" s="353"/>
      <c r="BB914" s="353"/>
      <c r="BC914" s="353"/>
      <c r="BD914" s="353"/>
      <c r="BE914" s="353"/>
      <c r="BF914" s="353"/>
      <c r="BG914" s="353"/>
      <c r="BH914" s="353"/>
      <c r="BI914" s="353"/>
      <c r="BJ914" s="353"/>
      <c r="BK914" s="353"/>
      <c r="BL914" s="353"/>
      <c r="BM914" s="353"/>
      <c r="BN914" s="353"/>
      <c r="BO914" s="353"/>
      <c r="BP914" s="353"/>
      <c r="BQ914" s="353"/>
      <c r="BR914" s="353"/>
      <c r="BS914" s="353"/>
      <c r="BT914" s="353"/>
      <c r="BU914" s="353"/>
      <c r="BV914" s="353"/>
      <c r="BW914" s="353"/>
      <c r="BX914" s="353"/>
      <c r="BY914" s="353"/>
      <c r="BZ914" s="353"/>
      <c r="CA914" s="353"/>
      <c r="CB914" s="353"/>
      <c r="CC914" s="353"/>
      <c r="CD914" s="353"/>
      <c r="CE914" s="353"/>
      <c r="CF914" s="353"/>
      <c r="CG914" s="353"/>
      <c r="CH914" s="353"/>
      <c r="CI914" s="353"/>
      <c r="CJ914" s="353"/>
      <c r="CK914" s="353"/>
      <c r="CL914" s="353"/>
      <c r="CM914" s="353"/>
      <c r="CN914" s="353"/>
      <c r="CO914" s="353"/>
      <c r="CP914" s="353"/>
      <c r="CQ914" s="353"/>
      <c r="CR914" s="353"/>
      <c r="CS914" s="353"/>
      <c r="CT914" s="353"/>
      <c r="CU914" s="353"/>
      <c r="CV914" s="353"/>
      <c r="CW914" s="353"/>
      <c r="CX914" s="353"/>
      <c r="CY914" s="353"/>
      <c r="CZ914" s="353"/>
      <c r="DA914" s="353"/>
      <c r="DB914" s="353"/>
      <c r="DC914" s="353"/>
      <c r="DD914" s="353"/>
      <c r="DE914" s="353"/>
      <c r="DF914" s="353"/>
      <c r="DG914" s="353"/>
      <c r="DH914" s="353"/>
      <c r="DI914" s="353"/>
      <c r="DJ914" s="353"/>
      <c r="DK914" s="353"/>
      <c r="DL914" s="353"/>
      <c r="DM914" s="353"/>
      <c r="DN914" s="353"/>
      <c r="DO914" s="353"/>
      <c r="DP914" s="353"/>
      <c r="DQ914" s="353"/>
      <c r="DR914" s="353"/>
      <c r="DS914" s="353"/>
      <c r="DT914" s="353"/>
      <c r="DU914" s="353"/>
      <c r="DV914" s="353"/>
      <c r="DW914" s="353"/>
      <c r="DX914" s="353"/>
      <c r="DY914" s="353"/>
      <c r="DZ914" s="353"/>
      <c r="EA914" s="353"/>
      <c r="EB914" s="353"/>
      <c r="EC914" s="353"/>
      <c r="ED914" s="353"/>
      <c r="EE914" s="353"/>
      <c r="EF914" s="353"/>
      <c r="EG914" s="353"/>
      <c r="EH914" s="353"/>
      <c r="EI914" s="353"/>
      <c r="EJ914" s="353"/>
      <c r="EK914" s="353"/>
      <c r="EL914" s="353"/>
      <c r="EM914" s="353"/>
      <c r="EN914" s="353"/>
      <c r="EO914" s="353"/>
      <c r="EP914" s="353"/>
      <c r="EQ914" s="353"/>
      <c r="ER914" s="353"/>
      <c r="ES914" s="353"/>
      <c r="ET914" s="353"/>
      <c r="EU914" s="353"/>
      <c r="EV914" s="353"/>
      <c r="EW914" s="353"/>
      <c r="EX914" s="353"/>
      <c r="EY914" s="353"/>
      <c r="EZ914" s="353"/>
      <c r="FA914" s="353"/>
      <c r="FB914" s="353"/>
      <c r="FC914" s="353"/>
      <c r="FD914" s="353"/>
      <c r="FE914" s="353"/>
      <c r="FF914" s="353"/>
      <c r="FG914" s="353"/>
      <c r="FH914" s="353"/>
      <c r="FI914" s="353"/>
      <c r="FJ914" s="353"/>
      <c r="FK914" s="353"/>
      <c r="FL914" s="353"/>
      <c r="FM914" s="353"/>
      <c r="FN914" s="353"/>
      <c r="FO914" s="353"/>
      <c r="FP914" s="353"/>
      <c r="FQ914" s="353"/>
      <c r="FR914" s="353"/>
      <c r="FS914" s="353"/>
      <c r="FT914" s="353"/>
      <c r="FU914" s="353"/>
      <c r="FV914" s="353"/>
      <c r="FW914" s="353"/>
      <c r="FX914" s="353"/>
      <c r="FY914" s="353"/>
      <c r="FZ914" s="353"/>
      <c r="GA914" s="353"/>
      <c r="GB914" s="353"/>
      <c r="GC914" s="353"/>
      <c r="GD914" s="353"/>
      <c r="GE914" s="353"/>
      <c r="GF914" s="353"/>
      <c r="GG914" s="353"/>
      <c r="GH914" s="353"/>
      <c r="GI914" s="353"/>
      <c r="GJ914" s="353"/>
      <c r="GK914" s="353"/>
      <c r="GL914" s="353"/>
      <c r="GM914" s="353"/>
      <c r="GN914" s="353"/>
      <c r="GO914" s="353"/>
      <c r="GP914" s="353"/>
      <c r="GQ914" s="353"/>
      <c r="GR914" s="353"/>
      <c r="GS914" s="353"/>
      <c r="GT914" s="353"/>
      <c r="GU914" s="353"/>
      <c r="GV914" s="353"/>
      <c r="GW914" s="353"/>
      <c r="GX914" s="353"/>
      <c r="GY914" s="353"/>
      <c r="GZ914" s="353"/>
      <c r="HA914" s="353"/>
      <c r="HB914" s="353"/>
      <c r="HC914" s="353"/>
      <c r="HD914" s="353"/>
      <c r="HE914" s="353"/>
      <c r="HF914" s="353"/>
      <c r="HG914" s="353"/>
      <c r="HH914" s="353"/>
      <c r="HI914" s="353"/>
      <c r="HJ914" s="353"/>
      <c r="HK914" s="353"/>
      <c r="HL914" s="353"/>
      <c r="HM914" s="353"/>
      <c r="HN914" s="353"/>
      <c r="HO914" s="353"/>
      <c r="HP914" s="353"/>
      <c r="HQ914" s="353"/>
      <c r="HR914" s="353"/>
    </row>
    <row r="915" spans="1:226" s="354" customFormat="1" ht="24.95" customHeight="1">
      <c r="A915" s="1556" t="s">
        <v>313</v>
      </c>
      <c r="B915" s="1559" t="s">
        <v>499</v>
      </c>
      <c r="C915" s="1562">
        <v>720</v>
      </c>
      <c r="D915" s="1565" t="s">
        <v>411</v>
      </c>
      <c r="E915" s="350" t="s">
        <v>315</v>
      </c>
      <c r="F915" s="351">
        <f>SUM(F916,F923)</f>
        <v>4385182</v>
      </c>
      <c r="G915" s="351">
        <f>SUM(G916,G923)</f>
        <v>632216</v>
      </c>
      <c r="H915" s="351">
        <f>SUM(H916,H923)</f>
        <v>3752966</v>
      </c>
      <c r="I915" s="351">
        <f>SUM(I916,I923)</f>
        <v>0</v>
      </c>
      <c r="J915" s="352">
        <f>SUM(J916,J923)</f>
        <v>0</v>
      </c>
      <c r="K915" s="353"/>
    </row>
    <row r="916" spans="1:226" s="354" customFormat="1" ht="24.95" customHeight="1">
      <c r="A916" s="1557"/>
      <c r="B916" s="1560"/>
      <c r="C916" s="1563"/>
      <c r="D916" s="1566"/>
      <c r="E916" s="355" t="s">
        <v>316</v>
      </c>
      <c r="F916" s="356">
        <f>SUM(F917,F920)</f>
        <v>0</v>
      </c>
      <c r="G916" s="356">
        <f>SUM(G917,G920)</f>
        <v>0</v>
      </c>
      <c r="H916" s="356">
        <f>SUM(H917,H920)</f>
        <v>0</v>
      </c>
      <c r="I916" s="356">
        <f>SUM(I917,I920)</f>
        <v>0</v>
      </c>
      <c r="J916" s="357">
        <f>SUM(J917,J920)</f>
        <v>0</v>
      </c>
      <c r="K916" s="353"/>
    </row>
    <row r="917" spans="1:226" s="354" customFormat="1" ht="24.95" hidden="1" customHeight="1">
      <c r="A917" s="1557"/>
      <c r="B917" s="1560"/>
      <c r="C917" s="1563"/>
      <c r="D917" s="1566"/>
      <c r="E917" s="393" t="s">
        <v>333</v>
      </c>
      <c r="F917" s="394">
        <f>SUM(F918:F919)</f>
        <v>0</v>
      </c>
      <c r="G917" s="394">
        <f>SUM(G918:G919)</f>
        <v>0</v>
      </c>
      <c r="H917" s="394">
        <f>SUM(H918:H919)</f>
        <v>0</v>
      </c>
      <c r="I917" s="394">
        <f>SUM(I918:I919)</f>
        <v>0</v>
      </c>
      <c r="J917" s="395">
        <f>SUM(J918:J919)</f>
        <v>0</v>
      </c>
      <c r="K917" s="353"/>
    </row>
    <row r="918" spans="1:226" s="354" customFormat="1" ht="15" hidden="1" customHeight="1">
      <c r="A918" s="1557"/>
      <c r="B918" s="1560"/>
      <c r="C918" s="1563"/>
      <c r="D918" s="1566"/>
      <c r="E918" s="358"/>
      <c r="F918" s="359">
        <f>SUM(G918:J918)</f>
        <v>0</v>
      </c>
      <c r="G918" s="359"/>
      <c r="H918" s="359"/>
      <c r="I918" s="359"/>
      <c r="J918" s="360"/>
      <c r="K918" s="353"/>
    </row>
    <row r="919" spans="1:226" s="354" customFormat="1" ht="15" hidden="1" customHeight="1">
      <c r="A919" s="1557"/>
      <c r="B919" s="1560"/>
      <c r="C919" s="1563"/>
      <c r="D919" s="1566"/>
      <c r="E919" s="358"/>
      <c r="F919" s="359">
        <f>SUM(G919:J919)</f>
        <v>0</v>
      </c>
      <c r="G919" s="359"/>
      <c r="H919" s="359"/>
      <c r="I919" s="359"/>
      <c r="J919" s="360"/>
      <c r="K919" s="353"/>
    </row>
    <row r="920" spans="1:226" s="354" customFormat="1" ht="24.95" hidden="1" customHeight="1">
      <c r="A920" s="1557"/>
      <c r="B920" s="1560"/>
      <c r="C920" s="1563"/>
      <c r="D920" s="1566"/>
      <c r="E920" s="393" t="s">
        <v>338</v>
      </c>
      <c r="F920" s="394">
        <f>SUM(F921:F922)</f>
        <v>0</v>
      </c>
      <c r="G920" s="394">
        <f>SUM(G921:G922)</f>
        <v>0</v>
      </c>
      <c r="H920" s="394">
        <f>SUM(H921:H922)</f>
        <v>0</v>
      </c>
      <c r="I920" s="394">
        <f>SUM(I921:I922)</f>
        <v>0</v>
      </c>
      <c r="J920" s="395">
        <f>SUM(J921:J922)</f>
        <v>0</v>
      </c>
      <c r="K920" s="353"/>
    </row>
    <row r="921" spans="1:226" s="354" customFormat="1" ht="15" hidden="1" customHeight="1">
      <c r="A921" s="1557"/>
      <c r="B921" s="1560"/>
      <c r="C921" s="1563"/>
      <c r="D921" s="1566"/>
      <c r="E921" s="358"/>
      <c r="F921" s="359">
        <f>SUM(G921:J921)</f>
        <v>0</v>
      </c>
      <c r="G921" s="359"/>
      <c r="H921" s="359"/>
      <c r="I921" s="359"/>
      <c r="J921" s="360"/>
      <c r="K921" s="353"/>
    </row>
    <row r="922" spans="1:226" s="354" customFormat="1" ht="15" hidden="1" customHeight="1">
      <c r="A922" s="1557"/>
      <c r="B922" s="1560"/>
      <c r="C922" s="1563"/>
      <c r="D922" s="1566"/>
      <c r="E922" s="358"/>
      <c r="F922" s="359">
        <f>SUM(G922:J922)</f>
        <v>0</v>
      </c>
      <c r="G922" s="359"/>
      <c r="H922" s="359"/>
      <c r="I922" s="359"/>
      <c r="J922" s="360"/>
      <c r="K922" s="353"/>
    </row>
    <row r="923" spans="1:226" s="354" customFormat="1" ht="24.95" customHeight="1">
      <c r="A923" s="1557"/>
      <c r="B923" s="1560"/>
      <c r="C923" s="1563"/>
      <c r="D923" s="1566"/>
      <c r="E923" s="361" t="s">
        <v>318</v>
      </c>
      <c r="F923" s="356">
        <f>SUM(F924:F926)</f>
        <v>4385182</v>
      </c>
      <c r="G923" s="356">
        <f t="shared" ref="G923:J923" si="74">SUM(G924:G926)</f>
        <v>632216</v>
      </c>
      <c r="H923" s="356">
        <f t="shared" si="74"/>
        <v>3752966</v>
      </c>
      <c r="I923" s="356">
        <f t="shared" si="74"/>
        <v>0</v>
      </c>
      <c r="J923" s="357">
        <f t="shared" si="74"/>
        <v>0</v>
      </c>
      <c r="K923" s="353"/>
    </row>
    <row r="924" spans="1:226" s="354" customFormat="1" ht="15" hidden="1" customHeight="1">
      <c r="A924" s="1557"/>
      <c r="B924" s="1560"/>
      <c r="C924" s="1563"/>
      <c r="D924" s="1566"/>
      <c r="E924" s="358" t="s">
        <v>471</v>
      </c>
      <c r="F924" s="359">
        <f>SUM(G924:J924)</f>
        <v>0</v>
      </c>
      <c r="G924" s="359"/>
      <c r="H924" s="359"/>
      <c r="I924" s="359"/>
      <c r="J924" s="360"/>
      <c r="K924" s="353"/>
    </row>
    <row r="925" spans="1:226" s="354" customFormat="1" ht="15" customHeight="1">
      <c r="A925" s="1557"/>
      <c r="B925" s="1560"/>
      <c r="C925" s="1563"/>
      <c r="D925" s="1566"/>
      <c r="E925" s="363" t="s">
        <v>414</v>
      </c>
      <c r="F925" s="359">
        <f>SUM(G925:J925)</f>
        <v>3752966</v>
      </c>
      <c r="G925" s="412"/>
      <c r="H925" s="412">
        <v>3752966</v>
      </c>
      <c r="I925" s="412"/>
      <c r="J925" s="413"/>
      <c r="K925" s="353"/>
    </row>
    <row r="926" spans="1:226" s="354" customFormat="1" ht="15" customHeight="1">
      <c r="A926" s="1558"/>
      <c r="B926" s="1561"/>
      <c r="C926" s="1564"/>
      <c r="D926" s="1567"/>
      <c r="E926" s="358" t="s">
        <v>472</v>
      </c>
      <c r="F926" s="359">
        <f>SUM(G926:J926)</f>
        <v>632216</v>
      </c>
      <c r="G926" s="359">
        <v>632216</v>
      </c>
      <c r="H926" s="359"/>
      <c r="I926" s="359"/>
      <c r="J926" s="360"/>
      <c r="K926" s="353"/>
    </row>
    <row r="927" spans="1:226" s="354" customFormat="1" ht="24.95" customHeight="1">
      <c r="A927" s="419" t="s">
        <v>500</v>
      </c>
      <c r="B927" s="1583" t="s">
        <v>501</v>
      </c>
      <c r="C927" s="1583"/>
      <c r="D927" s="1583"/>
      <c r="E927" s="1583"/>
      <c r="F927" s="420">
        <f>F929+F942+F955+F966+F977+F988</f>
        <v>18022277</v>
      </c>
      <c r="G927" s="420">
        <f t="shared" ref="G927:J927" si="75">G929+G942+G955+G966+G977+G988</f>
        <v>0</v>
      </c>
      <c r="H927" s="420">
        <f t="shared" si="75"/>
        <v>9620277</v>
      </c>
      <c r="I927" s="420">
        <f t="shared" si="75"/>
        <v>8402000</v>
      </c>
      <c r="J927" s="421">
        <f t="shared" si="75"/>
        <v>0</v>
      </c>
      <c r="K927" s="353"/>
    </row>
    <row r="928" spans="1:226" s="354" customFormat="1" ht="15" customHeight="1">
      <c r="A928" s="1544"/>
      <c r="B928" s="1545"/>
      <c r="C928" s="1545"/>
      <c r="D928" s="1545"/>
      <c r="E928" s="1545"/>
      <c r="F928" s="1545"/>
      <c r="G928" s="1545"/>
      <c r="H928" s="1545"/>
      <c r="I928" s="1545"/>
      <c r="J928" s="1546"/>
      <c r="K928" s="353"/>
      <c r="L928" s="353"/>
      <c r="M928" s="353"/>
      <c r="N928" s="353"/>
      <c r="O928" s="353"/>
      <c r="P928" s="353"/>
      <c r="Q928" s="353"/>
      <c r="R928" s="353"/>
      <c r="S928" s="353"/>
      <c r="T928" s="353"/>
      <c r="U928" s="353"/>
      <c r="V928" s="353"/>
      <c r="W928" s="353"/>
      <c r="X928" s="353"/>
      <c r="Y928" s="353"/>
      <c r="Z928" s="353"/>
      <c r="AA928" s="353"/>
      <c r="AB928" s="353"/>
      <c r="AC928" s="353"/>
      <c r="AD928" s="353"/>
      <c r="AE928" s="353"/>
      <c r="AF928" s="353"/>
      <c r="AG928" s="353"/>
      <c r="AH928" s="353"/>
      <c r="AI928" s="353"/>
      <c r="AJ928" s="353"/>
      <c r="AK928" s="353"/>
      <c r="AL928" s="353"/>
      <c r="AM928" s="353"/>
      <c r="AN928" s="353"/>
      <c r="AO928" s="353"/>
      <c r="AP928" s="353"/>
      <c r="AQ928" s="353"/>
      <c r="AR928" s="353"/>
      <c r="AS928" s="353"/>
      <c r="AT928" s="353"/>
      <c r="AU928" s="353"/>
      <c r="AV928" s="353"/>
      <c r="AW928" s="353"/>
      <c r="AX928" s="353"/>
      <c r="AY928" s="353"/>
      <c r="AZ928" s="353"/>
      <c r="BA928" s="353"/>
      <c r="BB928" s="353"/>
      <c r="BC928" s="353"/>
      <c r="BD928" s="353"/>
      <c r="BE928" s="353"/>
      <c r="BF928" s="353"/>
      <c r="BG928" s="353"/>
      <c r="BH928" s="353"/>
      <c r="BI928" s="353"/>
      <c r="BJ928" s="353"/>
      <c r="BK928" s="353"/>
      <c r="BL928" s="353"/>
      <c r="BM928" s="353"/>
      <c r="BN928" s="353"/>
      <c r="BO928" s="353"/>
      <c r="BP928" s="353"/>
      <c r="BQ928" s="353"/>
      <c r="BR928" s="353"/>
      <c r="BS928" s="353"/>
      <c r="BT928" s="353"/>
      <c r="BU928" s="353"/>
      <c r="BV928" s="353"/>
      <c r="BW928" s="353"/>
      <c r="BX928" s="353"/>
      <c r="BY928" s="353"/>
      <c r="BZ928" s="353"/>
      <c r="CA928" s="353"/>
      <c r="CB928" s="353"/>
      <c r="CC928" s="353"/>
      <c r="CD928" s="353"/>
      <c r="CE928" s="353"/>
      <c r="CF928" s="353"/>
      <c r="CG928" s="353"/>
      <c r="CH928" s="353"/>
      <c r="CI928" s="353"/>
      <c r="CJ928" s="353"/>
      <c r="CK928" s="353"/>
      <c r="CL928" s="353"/>
      <c r="CM928" s="353"/>
      <c r="CN928" s="353"/>
      <c r="CO928" s="353"/>
      <c r="CP928" s="353"/>
      <c r="CQ928" s="353"/>
      <c r="CR928" s="353"/>
      <c r="CS928" s="353"/>
      <c r="CT928" s="353"/>
      <c r="CU928" s="353"/>
      <c r="CV928" s="353"/>
      <c r="CW928" s="353"/>
      <c r="CX928" s="353"/>
      <c r="CY928" s="353"/>
      <c r="CZ928" s="353"/>
      <c r="DA928" s="353"/>
      <c r="DB928" s="353"/>
      <c r="DC928" s="353"/>
      <c r="DD928" s="353"/>
      <c r="DE928" s="353"/>
      <c r="DF928" s="353"/>
      <c r="DG928" s="353"/>
      <c r="DH928" s="353"/>
      <c r="DI928" s="353"/>
      <c r="DJ928" s="353"/>
      <c r="DK928" s="353"/>
      <c r="DL928" s="353"/>
      <c r="DM928" s="353"/>
      <c r="DN928" s="353"/>
      <c r="DO928" s="353"/>
      <c r="DP928" s="353"/>
      <c r="DQ928" s="353"/>
      <c r="DR928" s="353"/>
      <c r="DS928" s="353"/>
      <c r="DT928" s="353"/>
      <c r="DU928" s="353"/>
      <c r="DV928" s="353"/>
      <c r="DW928" s="353"/>
      <c r="DX928" s="353"/>
      <c r="DY928" s="353"/>
      <c r="DZ928" s="353"/>
      <c r="EA928" s="353"/>
      <c r="EB928" s="353"/>
      <c r="EC928" s="353"/>
      <c r="ED928" s="353"/>
      <c r="EE928" s="353"/>
      <c r="EF928" s="353"/>
      <c r="EG928" s="353"/>
      <c r="EH928" s="353"/>
      <c r="EI928" s="353"/>
      <c r="EJ928" s="353"/>
      <c r="EK928" s="353"/>
      <c r="EL928" s="353"/>
      <c r="EM928" s="353"/>
      <c r="EN928" s="353"/>
      <c r="EO928" s="353"/>
      <c r="EP928" s="353"/>
      <c r="EQ928" s="353"/>
      <c r="ER928" s="353"/>
      <c r="ES928" s="353"/>
      <c r="ET928" s="353"/>
      <c r="EU928" s="353"/>
      <c r="EV928" s="353"/>
      <c r="EW928" s="353"/>
      <c r="EX928" s="353"/>
      <c r="EY928" s="353"/>
      <c r="EZ928" s="353"/>
      <c r="FA928" s="353"/>
      <c r="FB928" s="353"/>
      <c r="FC928" s="353"/>
      <c r="FD928" s="353"/>
      <c r="FE928" s="353"/>
      <c r="FF928" s="353"/>
      <c r="FG928" s="353"/>
      <c r="FH928" s="353"/>
      <c r="FI928" s="353"/>
      <c r="FJ928" s="353"/>
      <c r="FK928" s="353"/>
      <c r="FL928" s="353"/>
      <c r="FM928" s="353"/>
      <c r="FN928" s="353"/>
      <c r="FO928" s="353"/>
      <c r="FP928" s="353"/>
      <c r="FQ928" s="353"/>
      <c r="FR928" s="353"/>
      <c r="FS928" s="353"/>
      <c r="FT928" s="353"/>
      <c r="FU928" s="353"/>
      <c r="FV928" s="353"/>
      <c r="FW928" s="353"/>
      <c r="FX928" s="353"/>
      <c r="FY928" s="353"/>
      <c r="FZ928" s="353"/>
      <c r="GA928" s="353"/>
      <c r="GB928" s="353"/>
      <c r="GC928" s="353"/>
      <c r="GD928" s="353"/>
      <c r="GE928" s="353"/>
      <c r="GF928" s="353"/>
      <c r="GG928" s="353"/>
      <c r="GH928" s="353"/>
      <c r="GI928" s="353"/>
      <c r="GJ928" s="353"/>
      <c r="GK928" s="353"/>
      <c r="GL928" s="353"/>
      <c r="GM928" s="353"/>
      <c r="GN928" s="353"/>
      <c r="GO928" s="353"/>
      <c r="GP928" s="353"/>
      <c r="GQ928" s="353"/>
      <c r="GR928" s="353"/>
      <c r="GS928" s="353"/>
      <c r="GT928" s="353"/>
      <c r="GU928" s="353"/>
      <c r="GV928" s="353"/>
      <c r="GW928" s="353"/>
      <c r="GX928" s="353"/>
      <c r="GY928" s="353"/>
      <c r="GZ928" s="353"/>
      <c r="HA928" s="353"/>
      <c r="HB928" s="353"/>
      <c r="HC928" s="353"/>
      <c r="HD928" s="353"/>
      <c r="HE928" s="353"/>
      <c r="HF928" s="353"/>
      <c r="HG928" s="353"/>
      <c r="HH928" s="353"/>
      <c r="HI928" s="353"/>
      <c r="HJ928" s="353"/>
      <c r="HK928" s="353"/>
      <c r="HL928" s="353"/>
      <c r="HM928" s="353"/>
      <c r="HN928" s="353"/>
      <c r="HO928" s="353"/>
      <c r="HP928" s="353"/>
      <c r="HQ928" s="353"/>
      <c r="HR928" s="353"/>
    </row>
    <row r="929" spans="1:226" s="354" customFormat="1" ht="24.95" customHeight="1">
      <c r="A929" s="1547" t="s">
        <v>313</v>
      </c>
      <c r="B929" s="1548" t="s">
        <v>502</v>
      </c>
      <c r="C929" s="1572" t="s">
        <v>122</v>
      </c>
      <c r="D929" s="1565"/>
      <c r="E929" s="350" t="s">
        <v>315</v>
      </c>
      <c r="F929" s="351">
        <f>SUM(F930,F937)</f>
        <v>12211000</v>
      </c>
      <c r="G929" s="351">
        <f>SUM(G930,G937)</f>
        <v>0</v>
      </c>
      <c r="H929" s="351">
        <f>SUM(H930,H937)</f>
        <v>8000000</v>
      </c>
      <c r="I929" s="351">
        <f>SUM(I930,I937)</f>
        <v>4211000</v>
      </c>
      <c r="J929" s="352">
        <f>SUM(J930,J937)</f>
        <v>0</v>
      </c>
      <c r="K929" s="353"/>
    </row>
    <row r="930" spans="1:226" s="354" customFormat="1" ht="24.95" customHeight="1">
      <c r="A930" s="1547"/>
      <c r="B930" s="1548"/>
      <c r="C930" s="1572"/>
      <c r="D930" s="1566"/>
      <c r="E930" s="355" t="s">
        <v>316</v>
      </c>
      <c r="F930" s="356">
        <f>SUM(F931,F934)</f>
        <v>0</v>
      </c>
      <c r="G930" s="356">
        <f>SUM(G931,G934)</f>
        <v>0</v>
      </c>
      <c r="H930" s="356">
        <f>SUM(H931,H934)</f>
        <v>0</v>
      </c>
      <c r="I930" s="356">
        <f>SUM(I931,I934)</f>
        <v>0</v>
      </c>
      <c r="J930" s="357">
        <f>SUM(J931,J934)</f>
        <v>0</v>
      </c>
      <c r="K930" s="353"/>
    </row>
    <row r="931" spans="1:226" s="354" customFormat="1" ht="24.95" hidden="1" customHeight="1">
      <c r="A931" s="1547"/>
      <c r="B931" s="1548"/>
      <c r="C931" s="1572"/>
      <c r="D931" s="1566"/>
      <c r="E931" s="393" t="s">
        <v>333</v>
      </c>
      <c r="F931" s="394">
        <f>SUM(F932:F933)</f>
        <v>0</v>
      </c>
      <c r="G931" s="394">
        <f>SUM(G932:G933)</f>
        <v>0</v>
      </c>
      <c r="H931" s="394">
        <f>SUM(H932:H933)</f>
        <v>0</v>
      </c>
      <c r="I931" s="394">
        <f>SUM(I932:I933)</f>
        <v>0</v>
      </c>
      <c r="J931" s="395">
        <f>SUM(J932:J933)</f>
        <v>0</v>
      </c>
      <c r="K931" s="353"/>
    </row>
    <row r="932" spans="1:226" s="354" customFormat="1" ht="15" hidden="1" customHeight="1">
      <c r="A932" s="1547"/>
      <c r="B932" s="1548"/>
      <c r="C932" s="1572"/>
      <c r="D932" s="1566"/>
      <c r="E932" s="358"/>
      <c r="F932" s="359">
        <f>SUM(G932:J932)</f>
        <v>0</v>
      </c>
      <c r="G932" s="359"/>
      <c r="H932" s="359"/>
      <c r="I932" s="359"/>
      <c r="J932" s="360"/>
      <c r="K932" s="353"/>
    </row>
    <row r="933" spans="1:226" s="354" customFormat="1" ht="15" hidden="1" customHeight="1">
      <c r="A933" s="1547"/>
      <c r="B933" s="1548"/>
      <c r="C933" s="1572"/>
      <c r="D933" s="1566"/>
      <c r="E933" s="358"/>
      <c r="F933" s="359">
        <f>SUM(G933:J933)</f>
        <v>0</v>
      </c>
      <c r="G933" s="359"/>
      <c r="H933" s="359"/>
      <c r="I933" s="359"/>
      <c r="J933" s="360"/>
      <c r="K933" s="353"/>
    </row>
    <row r="934" spans="1:226" s="354" customFormat="1" ht="24.95" hidden="1" customHeight="1">
      <c r="A934" s="1547"/>
      <c r="B934" s="1548"/>
      <c r="C934" s="1572"/>
      <c r="D934" s="1566"/>
      <c r="E934" s="393" t="s">
        <v>338</v>
      </c>
      <c r="F934" s="394">
        <f>SUM(F935:F936)</f>
        <v>0</v>
      </c>
      <c r="G934" s="394">
        <f>SUM(G935:G936)</f>
        <v>0</v>
      </c>
      <c r="H934" s="394">
        <f>SUM(H935:H936)</f>
        <v>0</v>
      </c>
      <c r="I934" s="394">
        <f>SUM(I935:I936)</f>
        <v>0</v>
      </c>
      <c r="J934" s="395">
        <f>SUM(J935:J936)</f>
        <v>0</v>
      </c>
      <c r="K934" s="353"/>
    </row>
    <row r="935" spans="1:226" s="354" customFormat="1" ht="15" hidden="1" customHeight="1">
      <c r="A935" s="1547"/>
      <c r="B935" s="1548"/>
      <c r="C935" s="1572"/>
      <c r="D935" s="1566"/>
      <c r="E935" s="358"/>
      <c r="F935" s="359">
        <f>SUM(G935:J935)</f>
        <v>0</v>
      </c>
      <c r="G935" s="359"/>
      <c r="H935" s="359"/>
      <c r="I935" s="359"/>
      <c r="J935" s="360"/>
      <c r="K935" s="353"/>
    </row>
    <row r="936" spans="1:226" s="354" customFormat="1" ht="15" hidden="1" customHeight="1">
      <c r="A936" s="1547"/>
      <c r="B936" s="1548"/>
      <c r="C936" s="1572"/>
      <c r="D936" s="1566"/>
      <c r="E936" s="358"/>
      <c r="F936" s="359">
        <f>SUM(G936:J936)</f>
        <v>0</v>
      </c>
      <c r="G936" s="359"/>
      <c r="H936" s="359"/>
      <c r="I936" s="359"/>
      <c r="J936" s="360"/>
      <c r="K936" s="353"/>
    </row>
    <row r="937" spans="1:226" s="354" customFormat="1" ht="24.95" customHeight="1">
      <c r="A937" s="1547"/>
      <c r="B937" s="1548"/>
      <c r="C937" s="1572"/>
      <c r="D937" s="1566"/>
      <c r="E937" s="361" t="s">
        <v>318</v>
      </c>
      <c r="F937" s="356">
        <f>SUM(F938:F941)</f>
        <v>12211000</v>
      </c>
      <c r="G937" s="356">
        <f>SUM(G938:G941)</f>
        <v>0</v>
      </c>
      <c r="H937" s="356">
        <f>SUM(H938:H941)</f>
        <v>8000000</v>
      </c>
      <c r="I937" s="356">
        <f>SUM(I938:I941)</f>
        <v>4211000</v>
      </c>
      <c r="J937" s="357">
        <f>SUM(J938:J941)</f>
        <v>0</v>
      </c>
      <c r="K937" s="353"/>
    </row>
    <row r="938" spans="1:226" s="354" customFormat="1" ht="15" customHeight="1">
      <c r="A938" s="1547"/>
      <c r="B938" s="1548"/>
      <c r="C938" s="1572"/>
      <c r="D938" s="358" t="s">
        <v>234</v>
      </c>
      <c r="E938" s="358" t="s">
        <v>471</v>
      </c>
      <c r="F938" s="359">
        <f>SUM(G938:J938)</f>
        <v>403000</v>
      </c>
      <c r="G938" s="359"/>
      <c r="H938" s="359"/>
      <c r="I938" s="359">
        <v>403000</v>
      </c>
      <c r="J938" s="360"/>
      <c r="K938" s="353"/>
    </row>
    <row r="939" spans="1:226" s="354" customFormat="1" ht="15" hidden="1" customHeight="1">
      <c r="A939" s="1556"/>
      <c r="B939" s="1559"/>
      <c r="C939" s="1565"/>
      <c r="D939" s="1565" t="s">
        <v>503</v>
      </c>
      <c r="E939" s="363" t="s">
        <v>471</v>
      </c>
      <c r="F939" s="359">
        <f>SUM(G939:J939)</f>
        <v>0</v>
      </c>
      <c r="G939" s="412"/>
      <c r="H939" s="412"/>
      <c r="I939" s="412"/>
      <c r="J939" s="413"/>
      <c r="K939" s="353"/>
    </row>
    <row r="940" spans="1:226" s="354" customFormat="1" ht="15" customHeight="1">
      <c r="A940" s="1556"/>
      <c r="B940" s="1559"/>
      <c r="C940" s="1565"/>
      <c r="D940" s="1566"/>
      <c r="E940" s="363" t="s">
        <v>414</v>
      </c>
      <c r="F940" s="359">
        <f>SUM(G940:J940)</f>
        <v>8000000</v>
      </c>
      <c r="G940" s="412"/>
      <c r="H940" s="412">
        <v>8000000</v>
      </c>
      <c r="I940" s="412"/>
      <c r="J940" s="413"/>
      <c r="K940" s="353"/>
      <c r="L940" s="353"/>
      <c r="M940" s="353"/>
      <c r="N940" s="353"/>
      <c r="O940" s="353"/>
      <c r="P940" s="353"/>
      <c r="Q940" s="353"/>
      <c r="R940" s="353"/>
      <c r="S940" s="353"/>
      <c r="T940" s="353"/>
      <c r="U940" s="353"/>
      <c r="V940" s="353"/>
      <c r="W940" s="353"/>
      <c r="X940" s="353"/>
      <c r="Y940" s="353"/>
      <c r="Z940" s="353"/>
      <c r="AA940" s="353"/>
      <c r="AB940" s="353"/>
      <c r="AC940" s="353"/>
      <c r="AD940" s="353"/>
      <c r="AE940" s="353"/>
      <c r="AF940" s="353"/>
      <c r="AG940" s="353"/>
      <c r="AH940" s="353"/>
      <c r="AI940" s="353"/>
      <c r="AJ940" s="353"/>
      <c r="AK940" s="353"/>
      <c r="AL940" s="353"/>
      <c r="AM940" s="353"/>
      <c r="AN940" s="353"/>
      <c r="AO940" s="353"/>
      <c r="AP940" s="353"/>
      <c r="AQ940" s="353"/>
      <c r="AR940" s="353"/>
      <c r="AS940" s="353"/>
      <c r="AT940" s="353"/>
      <c r="AU940" s="353"/>
      <c r="AV940" s="353"/>
      <c r="AW940" s="353"/>
      <c r="AX940" s="353"/>
      <c r="AY940" s="353"/>
      <c r="AZ940" s="353"/>
      <c r="BA940" s="353"/>
      <c r="BB940" s="353"/>
      <c r="BC940" s="353"/>
      <c r="BD940" s="353"/>
      <c r="BE940" s="353"/>
      <c r="BF940" s="353"/>
      <c r="BG940" s="353"/>
      <c r="BH940" s="353"/>
      <c r="BI940" s="353"/>
      <c r="BJ940" s="353"/>
      <c r="BK940" s="353"/>
      <c r="BL940" s="353"/>
      <c r="BM940" s="353"/>
      <c r="BN940" s="353"/>
      <c r="BO940" s="353"/>
      <c r="BP940" s="353"/>
      <c r="BQ940" s="353"/>
      <c r="BR940" s="353"/>
      <c r="BS940" s="353"/>
      <c r="BT940" s="353"/>
      <c r="BU940" s="353"/>
      <c r="BV940" s="353"/>
      <c r="BW940" s="353"/>
      <c r="BX940" s="353"/>
      <c r="BY940" s="353"/>
      <c r="BZ940" s="353"/>
      <c r="CA940" s="353"/>
      <c r="CB940" s="353"/>
      <c r="CC940" s="353"/>
      <c r="CD940" s="353"/>
      <c r="CE940" s="353"/>
      <c r="CF940" s="353"/>
      <c r="CG940" s="353"/>
      <c r="CH940" s="353"/>
      <c r="CI940" s="353"/>
      <c r="CJ940" s="353"/>
      <c r="CK940" s="353"/>
      <c r="CL940" s="353"/>
      <c r="CM940" s="353"/>
      <c r="CN940" s="353"/>
      <c r="CO940" s="353"/>
      <c r="CP940" s="353"/>
      <c r="CQ940" s="353"/>
      <c r="CR940" s="353"/>
      <c r="CS940" s="353"/>
      <c r="CT940" s="353"/>
      <c r="CU940" s="353"/>
      <c r="CV940" s="353"/>
      <c r="CW940" s="353"/>
      <c r="CX940" s="353"/>
      <c r="CY940" s="353"/>
      <c r="CZ940" s="353"/>
      <c r="DA940" s="353"/>
      <c r="DB940" s="353"/>
      <c r="DC940" s="353"/>
      <c r="DD940" s="353"/>
      <c r="DE940" s="353"/>
      <c r="DF940" s="353"/>
      <c r="DG940" s="353"/>
      <c r="DH940" s="353"/>
      <c r="DI940" s="353"/>
      <c r="DJ940" s="353"/>
      <c r="DK940" s="353"/>
      <c r="DL940" s="353"/>
      <c r="DM940" s="353"/>
      <c r="DN940" s="353"/>
      <c r="DO940" s="353"/>
      <c r="DP940" s="353"/>
      <c r="DQ940" s="353"/>
      <c r="DR940" s="353"/>
      <c r="DS940" s="353"/>
      <c r="DT940" s="353"/>
      <c r="DU940" s="353"/>
      <c r="DV940" s="353"/>
      <c r="DW940" s="353"/>
      <c r="DX940" s="353"/>
      <c r="DY940" s="353"/>
      <c r="DZ940" s="353"/>
      <c r="EA940" s="353"/>
      <c r="EB940" s="353"/>
      <c r="EC940" s="353"/>
      <c r="ED940" s="353"/>
      <c r="EE940" s="353"/>
      <c r="EF940" s="353"/>
      <c r="EG940" s="353"/>
      <c r="EH940" s="353"/>
      <c r="EI940" s="353"/>
      <c r="EJ940" s="353"/>
      <c r="EK940" s="353"/>
      <c r="EL940" s="353"/>
      <c r="EM940" s="353"/>
      <c r="EN940" s="353"/>
      <c r="EO940" s="353"/>
      <c r="EP940" s="353"/>
      <c r="EQ940" s="353"/>
      <c r="ER940" s="353"/>
      <c r="ES940" s="353"/>
      <c r="ET940" s="353"/>
      <c r="EU940" s="353"/>
      <c r="EV940" s="353"/>
      <c r="EW940" s="353"/>
      <c r="EX940" s="353"/>
      <c r="EY940" s="353"/>
      <c r="EZ940" s="353"/>
      <c r="FA940" s="353"/>
      <c r="FB940" s="353"/>
      <c r="FC940" s="353"/>
      <c r="FD940" s="353"/>
      <c r="FE940" s="353"/>
      <c r="FF940" s="353"/>
      <c r="FG940" s="353"/>
      <c r="FH940" s="353"/>
      <c r="FI940" s="353"/>
      <c r="FJ940" s="353"/>
      <c r="FK940" s="353"/>
      <c r="FL940" s="353"/>
      <c r="FM940" s="353"/>
      <c r="FN940" s="353"/>
      <c r="FO940" s="353"/>
      <c r="FP940" s="353"/>
      <c r="FQ940" s="353"/>
      <c r="FR940" s="353"/>
      <c r="FS940" s="353"/>
      <c r="FT940" s="353"/>
      <c r="FU940" s="353"/>
      <c r="FV940" s="353"/>
      <c r="FW940" s="353"/>
      <c r="FX940" s="353"/>
      <c r="FY940" s="353"/>
      <c r="FZ940" s="353"/>
      <c r="GA940" s="353"/>
      <c r="GB940" s="353"/>
      <c r="GC940" s="353"/>
      <c r="GD940" s="353"/>
      <c r="GE940" s="353"/>
      <c r="GF940" s="353"/>
      <c r="GG940" s="353"/>
      <c r="GH940" s="353"/>
      <c r="GI940" s="353"/>
      <c r="GJ940" s="353"/>
      <c r="GK940" s="353"/>
      <c r="GL940" s="353"/>
      <c r="GM940" s="353"/>
      <c r="GN940" s="353"/>
      <c r="GO940" s="353"/>
      <c r="GP940" s="353"/>
      <c r="GQ940" s="353"/>
      <c r="GR940" s="353"/>
      <c r="GS940" s="353"/>
      <c r="GT940" s="353"/>
      <c r="GU940" s="353"/>
      <c r="GV940" s="353"/>
      <c r="GW940" s="353"/>
      <c r="GX940" s="353"/>
      <c r="GY940" s="353"/>
      <c r="GZ940" s="353"/>
      <c r="HA940" s="353"/>
      <c r="HB940" s="353"/>
      <c r="HC940" s="353"/>
      <c r="HD940" s="353"/>
      <c r="HE940" s="353"/>
      <c r="HF940" s="353"/>
      <c r="HG940" s="353"/>
      <c r="HH940" s="353"/>
      <c r="HI940" s="353"/>
      <c r="HJ940" s="353"/>
      <c r="HK940" s="353"/>
      <c r="HL940" s="353"/>
      <c r="HM940" s="353"/>
      <c r="HN940" s="353"/>
      <c r="HO940" s="353"/>
      <c r="HP940" s="353"/>
      <c r="HQ940" s="353"/>
      <c r="HR940" s="353"/>
    </row>
    <row r="941" spans="1:226" s="354" customFormat="1" ht="15" customHeight="1">
      <c r="A941" s="1547"/>
      <c r="B941" s="1548"/>
      <c r="C941" s="1572"/>
      <c r="D941" s="1567"/>
      <c r="E941" s="396">
        <v>6059</v>
      </c>
      <c r="F941" s="359">
        <f>SUM(G941:J941)</f>
        <v>3808000</v>
      </c>
      <c r="G941" s="359"/>
      <c r="H941" s="359"/>
      <c r="I941" s="359">
        <v>3808000</v>
      </c>
      <c r="J941" s="360"/>
      <c r="K941" s="353"/>
    </row>
    <row r="942" spans="1:226" s="354" customFormat="1" ht="24.95" customHeight="1">
      <c r="A942" s="1547" t="s">
        <v>327</v>
      </c>
      <c r="B942" s="1548" t="s">
        <v>504</v>
      </c>
      <c r="C942" s="1572" t="s">
        <v>122</v>
      </c>
      <c r="D942" s="1565"/>
      <c r="E942" s="350" t="s">
        <v>315</v>
      </c>
      <c r="F942" s="351">
        <f>SUM(F943,F950)</f>
        <v>4198277</v>
      </c>
      <c r="G942" s="351">
        <f>SUM(G943,G950)</f>
        <v>0</v>
      </c>
      <c r="H942" s="351">
        <f>SUM(H943,H950)</f>
        <v>1620277</v>
      </c>
      <c r="I942" s="351">
        <f>SUM(I943,I950)</f>
        <v>2578000</v>
      </c>
      <c r="J942" s="352">
        <f>SUM(J943,J950)</f>
        <v>0</v>
      </c>
      <c r="K942" s="353"/>
    </row>
    <row r="943" spans="1:226" s="354" customFormat="1" ht="24.95" customHeight="1">
      <c r="A943" s="1547"/>
      <c r="B943" s="1548"/>
      <c r="C943" s="1572"/>
      <c r="D943" s="1566"/>
      <c r="E943" s="355" t="s">
        <v>316</v>
      </c>
      <c r="F943" s="356">
        <f>SUM(F944,F947)</f>
        <v>0</v>
      </c>
      <c r="G943" s="356">
        <f>SUM(G944,G947)</f>
        <v>0</v>
      </c>
      <c r="H943" s="356">
        <f>SUM(H944,H947)</f>
        <v>0</v>
      </c>
      <c r="I943" s="356">
        <f>SUM(I944,I947)</f>
        <v>0</v>
      </c>
      <c r="J943" s="357">
        <f>SUM(J944,J947)</f>
        <v>0</v>
      </c>
      <c r="K943" s="353"/>
    </row>
    <row r="944" spans="1:226" s="354" customFormat="1" ht="24.95" hidden="1" customHeight="1">
      <c r="A944" s="1547"/>
      <c r="B944" s="1548"/>
      <c r="C944" s="1572"/>
      <c r="D944" s="1566"/>
      <c r="E944" s="393" t="s">
        <v>333</v>
      </c>
      <c r="F944" s="394">
        <f>SUM(F945:F946)</f>
        <v>0</v>
      </c>
      <c r="G944" s="394">
        <f>SUM(G945:G946)</f>
        <v>0</v>
      </c>
      <c r="H944" s="394">
        <f>SUM(H945:H946)</f>
        <v>0</v>
      </c>
      <c r="I944" s="394">
        <f>SUM(I945:I946)</f>
        <v>0</v>
      </c>
      <c r="J944" s="395">
        <f>SUM(J945:J946)</f>
        <v>0</v>
      </c>
      <c r="K944" s="353"/>
    </row>
    <row r="945" spans="1:226" s="354" customFormat="1" ht="15" hidden="1" customHeight="1">
      <c r="A945" s="1547"/>
      <c r="B945" s="1548"/>
      <c r="C945" s="1572"/>
      <c r="D945" s="1566"/>
      <c r="E945" s="358"/>
      <c r="F945" s="359">
        <f>SUM(G945:J945)</f>
        <v>0</v>
      </c>
      <c r="G945" s="359"/>
      <c r="H945" s="359"/>
      <c r="I945" s="359"/>
      <c r="J945" s="360"/>
      <c r="K945" s="353"/>
    </row>
    <row r="946" spans="1:226" s="354" customFormat="1" ht="15" hidden="1" customHeight="1">
      <c r="A946" s="1547"/>
      <c r="B946" s="1548"/>
      <c r="C946" s="1572"/>
      <c r="D946" s="1566"/>
      <c r="E946" s="358"/>
      <c r="F946" s="359">
        <f>SUM(G946:J946)</f>
        <v>0</v>
      </c>
      <c r="G946" s="359"/>
      <c r="H946" s="359"/>
      <c r="I946" s="359"/>
      <c r="J946" s="360"/>
      <c r="K946" s="353"/>
    </row>
    <row r="947" spans="1:226" s="354" customFormat="1" ht="24.95" hidden="1" customHeight="1">
      <c r="A947" s="1547"/>
      <c r="B947" s="1548"/>
      <c r="C947" s="1572"/>
      <c r="D947" s="1566"/>
      <c r="E947" s="393" t="s">
        <v>338</v>
      </c>
      <c r="F947" s="394">
        <f>SUM(F948:F949)</f>
        <v>0</v>
      </c>
      <c r="G947" s="394">
        <f>SUM(G948:G949)</f>
        <v>0</v>
      </c>
      <c r="H947" s="394">
        <f>SUM(H948:H949)</f>
        <v>0</v>
      </c>
      <c r="I947" s="394">
        <f>SUM(I948:I949)</f>
        <v>0</v>
      </c>
      <c r="J947" s="395">
        <f>SUM(J948:J949)</f>
        <v>0</v>
      </c>
      <c r="K947" s="353"/>
    </row>
    <row r="948" spans="1:226" s="354" customFormat="1" ht="15" hidden="1" customHeight="1">
      <c r="A948" s="1547"/>
      <c r="B948" s="1548"/>
      <c r="C948" s="1572"/>
      <c r="D948" s="1566"/>
      <c r="E948" s="358"/>
      <c r="F948" s="359">
        <f>SUM(G948:J948)</f>
        <v>0</v>
      </c>
      <c r="G948" s="359"/>
      <c r="H948" s="359"/>
      <c r="I948" s="359"/>
      <c r="J948" s="360"/>
      <c r="K948" s="353"/>
    </row>
    <row r="949" spans="1:226" s="354" customFormat="1" ht="15" hidden="1" customHeight="1">
      <c r="A949" s="1547"/>
      <c r="B949" s="1548"/>
      <c r="C949" s="1572"/>
      <c r="D949" s="1566"/>
      <c r="E949" s="358"/>
      <c r="F949" s="359">
        <f>SUM(G949:J949)</f>
        <v>0</v>
      </c>
      <c r="G949" s="359"/>
      <c r="H949" s="359"/>
      <c r="I949" s="359"/>
      <c r="J949" s="360"/>
      <c r="K949" s="353"/>
    </row>
    <row r="950" spans="1:226" s="354" customFormat="1" ht="24.95" customHeight="1">
      <c r="A950" s="1547"/>
      <c r="B950" s="1548"/>
      <c r="C950" s="1572"/>
      <c r="D950" s="1567"/>
      <c r="E950" s="361" t="s">
        <v>318</v>
      </c>
      <c r="F950" s="356">
        <f>SUM(F951:F954)</f>
        <v>4198277</v>
      </c>
      <c r="G950" s="356">
        <f>SUM(G951:G954)</f>
        <v>0</v>
      </c>
      <c r="H950" s="356">
        <f>SUM(H951:H954)</f>
        <v>1620277</v>
      </c>
      <c r="I950" s="356">
        <f>SUM(I951:I954)</f>
        <v>2578000</v>
      </c>
      <c r="J950" s="357">
        <f>SUM(J951:J954)</f>
        <v>0</v>
      </c>
      <c r="K950" s="353"/>
    </row>
    <row r="951" spans="1:226" s="354" customFormat="1" ht="15" customHeight="1">
      <c r="A951" s="1547"/>
      <c r="B951" s="1548"/>
      <c r="C951" s="1572"/>
      <c r="D951" s="358" t="s">
        <v>234</v>
      </c>
      <c r="E951" s="358" t="s">
        <v>471</v>
      </c>
      <c r="F951" s="359">
        <f>SUM(G951:J951)</f>
        <v>3000</v>
      </c>
      <c r="G951" s="359"/>
      <c r="H951" s="359"/>
      <c r="I951" s="359">
        <v>3000</v>
      </c>
      <c r="J951" s="360"/>
      <c r="K951" s="353"/>
    </row>
    <row r="952" spans="1:226" s="354" customFormat="1" ht="15" hidden="1" customHeight="1">
      <c r="A952" s="1556"/>
      <c r="B952" s="1559"/>
      <c r="C952" s="1565"/>
      <c r="D952" s="1565" t="s">
        <v>503</v>
      </c>
      <c r="E952" s="363" t="s">
        <v>471</v>
      </c>
      <c r="F952" s="359">
        <f>SUM(G952:J952)</f>
        <v>0</v>
      </c>
      <c r="G952" s="412"/>
      <c r="H952" s="412"/>
      <c r="I952" s="412"/>
      <c r="J952" s="413"/>
      <c r="K952" s="353"/>
    </row>
    <row r="953" spans="1:226" s="354" customFormat="1" ht="15" customHeight="1">
      <c r="A953" s="1556"/>
      <c r="B953" s="1559"/>
      <c r="C953" s="1565"/>
      <c r="D953" s="1566"/>
      <c r="E953" s="363" t="s">
        <v>414</v>
      </c>
      <c r="F953" s="359">
        <f>SUM(G953:J953)</f>
        <v>1620277</v>
      </c>
      <c r="G953" s="412"/>
      <c r="H953" s="412">
        <v>1620277</v>
      </c>
      <c r="I953" s="412"/>
      <c r="J953" s="413"/>
      <c r="K953" s="353"/>
    </row>
    <row r="954" spans="1:226" s="354" customFormat="1" ht="15" customHeight="1">
      <c r="A954" s="1556"/>
      <c r="B954" s="1559"/>
      <c r="C954" s="1565"/>
      <c r="D954" s="1567"/>
      <c r="E954" s="363" t="s">
        <v>472</v>
      </c>
      <c r="F954" s="412">
        <f>SUM(G954:J954)</f>
        <v>2575000</v>
      </c>
      <c r="G954" s="412"/>
      <c r="H954" s="412"/>
      <c r="I954" s="412">
        <v>2575000</v>
      </c>
      <c r="J954" s="413"/>
      <c r="K954" s="353"/>
      <c r="L954" s="353"/>
      <c r="M954" s="353"/>
      <c r="N954" s="353"/>
      <c r="O954" s="353"/>
      <c r="P954" s="353"/>
      <c r="Q954" s="353"/>
      <c r="R954" s="353"/>
      <c r="S954" s="353"/>
      <c r="T954" s="353"/>
      <c r="U954" s="353"/>
      <c r="V954" s="353"/>
      <c r="W954" s="353"/>
      <c r="X954" s="353"/>
      <c r="Y954" s="353"/>
      <c r="Z954" s="353"/>
      <c r="AA954" s="353"/>
      <c r="AB954" s="353"/>
      <c r="AC954" s="353"/>
      <c r="AD954" s="353"/>
      <c r="AE954" s="353"/>
      <c r="AF954" s="353"/>
      <c r="AG954" s="353"/>
      <c r="AH954" s="353"/>
      <c r="AI954" s="353"/>
      <c r="AJ954" s="353"/>
      <c r="AK954" s="353"/>
      <c r="AL954" s="353"/>
      <c r="AM954" s="353"/>
      <c r="AN954" s="353"/>
      <c r="AO954" s="353"/>
      <c r="AP954" s="353"/>
      <c r="AQ954" s="353"/>
      <c r="AR954" s="353"/>
      <c r="AS954" s="353"/>
      <c r="AT954" s="353"/>
      <c r="AU954" s="353"/>
      <c r="AV954" s="353"/>
      <c r="AW954" s="353"/>
      <c r="AX954" s="353"/>
      <c r="AY954" s="353"/>
      <c r="AZ954" s="353"/>
      <c r="BA954" s="353"/>
      <c r="BB954" s="353"/>
      <c r="BC954" s="353"/>
      <c r="BD954" s="353"/>
      <c r="BE954" s="353"/>
      <c r="BF954" s="353"/>
      <c r="BG954" s="353"/>
      <c r="BH954" s="353"/>
      <c r="BI954" s="353"/>
      <c r="BJ954" s="353"/>
      <c r="BK954" s="353"/>
      <c r="BL954" s="353"/>
      <c r="BM954" s="353"/>
      <c r="BN954" s="353"/>
      <c r="BO954" s="353"/>
      <c r="BP954" s="353"/>
      <c r="BQ954" s="353"/>
      <c r="BR954" s="353"/>
      <c r="BS954" s="353"/>
      <c r="BT954" s="353"/>
      <c r="BU954" s="353"/>
      <c r="BV954" s="353"/>
      <c r="BW954" s="353"/>
      <c r="BX954" s="353"/>
      <c r="BY954" s="353"/>
      <c r="BZ954" s="353"/>
      <c r="CA954" s="353"/>
      <c r="CB954" s="353"/>
      <c r="CC954" s="353"/>
      <c r="CD954" s="353"/>
      <c r="CE954" s="353"/>
      <c r="CF954" s="353"/>
      <c r="CG954" s="353"/>
      <c r="CH954" s="353"/>
      <c r="CI954" s="353"/>
      <c r="CJ954" s="353"/>
      <c r="CK954" s="353"/>
      <c r="CL954" s="353"/>
      <c r="CM954" s="353"/>
      <c r="CN954" s="353"/>
      <c r="CO954" s="353"/>
      <c r="CP954" s="353"/>
      <c r="CQ954" s="353"/>
      <c r="CR954" s="353"/>
      <c r="CS954" s="353"/>
      <c r="CT954" s="353"/>
      <c r="CU954" s="353"/>
      <c r="CV954" s="353"/>
      <c r="CW954" s="353"/>
      <c r="CX954" s="353"/>
      <c r="CY954" s="353"/>
      <c r="CZ954" s="353"/>
      <c r="DA954" s="353"/>
      <c r="DB954" s="353"/>
      <c r="DC954" s="353"/>
      <c r="DD954" s="353"/>
      <c r="DE954" s="353"/>
      <c r="DF954" s="353"/>
      <c r="DG954" s="353"/>
      <c r="DH954" s="353"/>
      <c r="DI954" s="353"/>
      <c r="DJ954" s="353"/>
      <c r="DK954" s="353"/>
      <c r="DL954" s="353"/>
      <c r="DM954" s="353"/>
      <c r="DN954" s="353"/>
      <c r="DO954" s="353"/>
      <c r="DP954" s="353"/>
      <c r="DQ954" s="353"/>
      <c r="DR954" s="353"/>
      <c r="DS954" s="353"/>
      <c r="DT954" s="353"/>
      <c r="DU954" s="353"/>
      <c r="DV954" s="353"/>
      <c r="DW954" s="353"/>
      <c r="DX954" s="353"/>
      <c r="DY954" s="353"/>
      <c r="DZ954" s="353"/>
      <c r="EA954" s="353"/>
      <c r="EB954" s="353"/>
      <c r="EC954" s="353"/>
      <c r="ED954" s="353"/>
      <c r="EE954" s="353"/>
      <c r="EF954" s="353"/>
      <c r="EG954" s="353"/>
      <c r="EH954" s="353"/>
      <c r="EI954" s="353"/>
      <c r="EJ954" s="353"/>
      <c r="EK954" s="353"/>
      <c r="EL954" s="353"/>
      <c r="EM954" s="353"/>
      <c r="EN954" s="353"/>
      <c r="EO954" s="353"/>
      <c r="EP954" s="353"/>
      <c r="EQ954" s="353"/>
      <c r="ER954" s="353"/>
      <c r="ES954" s="353"/>
      <c r="ET954" s="353"/>
      <c r="EU954" s="353"/>
      <c r="EV954" s="353"/>
      <c r="EW954" s="353"/>
      <c r="EX954" s="353"/>
      <c r="EY954" s="353"/>
      <c r="EZ954" s="353"/>
      <c r="FA954" s="353"/>
      <c r="FB954" s="353"/>
      <c r="FC954" s="353"/>
      <c r="FD954" s="353"/>
      <c r="FE954" s="353"/>
      <c r="FF954" s="353"/>
      <c r="FG954" s="353"/>
      <c r="FH954" s="353"/>
      <c r="FI954" s="353"/>
      <c r="FJ954" s="353"/>
      <c r="FK954" s="353"/>
      <c r="FL954" s="353"/>
      <c r="FM954" s="353"/>
      <c r="FN954" s="353"/>
      <c r="FO954" s="353"/>
      <c r="FP954" s="353"/>
      <c r="FQ954" s="353"/>
      <c r="FR954" s="353"/>
      <c r="FS954" s="353"/>
      <c r="FT954" s="353"/>
      <c r="FU954" s="353"/>
      <c r="FV954" s="353"/>
      <c r="FW954" s="353"/>
      <c r="FX954" s="353"/>
      <c r="FY954" s="353"/>
      <c r="FZ954" s="353"/>
      <c r="GA954" s="353"/>
      <c r="GB954" s="353"/>
      <c r="GC954" s="353"/>
      <c r="GD954" s="353"/>
      <c r="GE954" s="353"/>
      <c r="GF954" s="353"/>
      <c r="GG954" s="353"/>
      <c r="GH954" s="353"/>
      <c r="GI954" s="353"/>
      <c r="GJ954" s="353"/>
      <c r="GK954" s="353"/>
      <c r="GL954" s="353"/>
      <c r="GM954" s="353"/>
      <c r="GN954" s="353"/>
      <c r="GO954" s="353"/>
      <c r="GP954" s="353"/>
      <c r="GQ954" s="353"/>
      <c r="GR954" s="353"/>
      <c r="GS954" s="353"/>
      <c r="GT954" s="353"/>
      <c r="GU954" s="353"/>
      <c r="GV954" s="353"/>
      <c r="GW954" s="353"/>
      <c r="GX954" s="353"/>
      <c r="GY954" s="353"/>
      <c r="GZ954" s="353"/>
      <c r="HA954" s="353"/>
      <c r="HB954" s="353"/>
      <c r="HC954" s="353"/>
      <c r="HD954" s="353"/>
      <c r="HE954" s="353"/>
      <c r="HF954" s="353"/>
      <c r="HG954" s="353"/>
      <c r="HH954" s="353"/>
      <c r="HI954" s="353"/>
      <c r="HJ954" s="353"/>
      <c r="HK954" s="353"/>
      <c r="HL954" s="353"/>
      <c r="HM954" s="353"/>
      <c r="HN954" s="353"/>
      <c r="HO954" s="353"/>
      <c r="HP954" s="353"/>
      <c r="HQ954" s="353"/>
      <c r="HR954" s="353"/>
    </row>
    <row r="955" spans="1:226" s="354" customFormat="1" ht="24.95" customHeight="1">
      <c r="A955" s="1547" t="s">
        <v>329</v>
      </c>
      <c r="B955" s="1548" t="s">
        <v>505</v>
      </c>
      <c r="C955" s="1572" t="s">
        <v>122</v>
      </c>
      <c r="D955" s="1572"/>
      <c r="E955" s="350" t="s">
        <v>315</v>
      </c>
      <c r="F955" s="351">
        <f>SUM(F956,F963)</f>
        <v>68000</v>
      </c>
      <c r="G955" s="351">
        <f>SUM(G956,G963)</f>
        <v>0</v>
      </c>
      <c r="H955" s="351">
        <f>SUM(H956,H963)</f>
        <v>0</v>
      </c>
      <c r="I955" s="351">
        <f>SUM(I956,I963)</f>
        <v>68000</v>
      </c>
      <c r="J955" s="352">
        <f>SUM(J956,J963)</f>
        <v>0</v>
      </c>
      <c r="K955" s="353"/>
    </row>
    <row r="956" spans="1:226" s="354" customFormat="1" ht="24.95" customHeight="1">
      <c r="A956" s="1547"/>
      <c r="B956" s="1548"/>
      <c r="C956" s="1572"/>
      <c r="D956" s="1572"/>
      <c r="E956" s="355" t="s">
        <v>316</v>
      </c>
      <c r="F956" s="356">
        <f>SUM(F957,F960)</f>
        <v>0</v>
      </c>
      <c r="G956" s="356">
        <f>SUM(G957,G960)</f>
        <v>0</v>
      </c>
      <c r="H956" s="356">
        <f>SUM(H957,H960)</f>
        <v>0</v>
      </c>
      <c r="I956" s="356">
        <f>SUM(I957,I960)</f>
        <v>0</v>
      </c>
      <c r="J956" s="357">
        <f>SUM(J957,J960)</f>
        <v>0</v>
      </c>
      <c r="K956" s="353"/>
    </row>
    <row r="957" spans="1:226" s="354" customFormat="1" ht="24.95" hidden="1" customHeight="1">
      <c r="A957" s="1547"/>
      <c r="B957" s="1548"/>
      <c r="C957" s="1572"/>
      <c r="D957" s="1572"/>
      <c r="E957" s="393" t="s">
        <v>333</v>
      </c>
      <c r="F957" s="394">
        <f>SUM(F958:F959)</f>
        <v>0</v>
      </c>
      <c r="G957" s="394">
        <f>SUM(G958:G959)</f>
        <v>0</v>
      </c>
      <c r="H957" s="394">
        <f>SUM(H958:H959)</f>
        <v>0</v>
      </c>
      <c r="I957" s="394">
        <f>SUM(I958:I959)</f>
        <v>0</v>
      </c>
      <c r="J957" s="395">
        <f>SUM(J958:J959)</f>
        <v>0</v>
      </c>
      <c r="K957" s="353"/>
    </row>
    <row r="958" spans="1:226" s="354" customFormat="1" ht="15" hidden="1" customHeight="1">
      <c r="A958" s="1547"/>
      <c r="B958" s="1548"/>
      <c r="C958" s="1572"/>
      <c r="D958" s="1572"/>
      <c r="E958" s="358"/>
      <c r="F958" s="359">
        <f>SUM(G958:J958)</f>
        <v>0</v>
      </c>
      <c r="G958" s="359"/>
      <c r="H958" s="359"/>
      <c r="I958" s="359"/>
      <c r="J958" s="360"/>
      <c r="K958" s="353"/>
    </row>
    <row r="959" spans="1:226" s="354" customFormat="1" ht="15" hidden="1" customHeight="1">
      <c r="A959" s="1547"/>
      <c r="B959" s="1548"/>
      <c r="C959" s="1572"/>
      <c r="D959" s="1572"/>
      <c r="E959" s="358"/>
      <c r="F959" s="359">
        <f>SUM(G959:J959)</f>
        <v>0</v>
      </c>
      <c r="G959" s="359"/>
      <c r="H959" s="359"/>
      <c r="I959" s="359"/>
      <c r="J959" s="360"/>
      <c r="K959" s="353"/>
    </row>
    <row r="960" spans="1:226" s="354" customFormat="1" ht="24.95" hidden="1" customHeight="1">
      <c r="A960" s="1547"/>
      <c r="B960" s="1548"/>
      <c r="C960" s="1572"/>
      <c r="D960" s="1572"/>
      <c r="E960" s="393" t="s">
        <v>338</v>
      </c>
      <c r="F960" s="394">
        <f>SUM(F961:F962)</f>
        <v>0</v>
      </c>
      <c r="G960" s="394">
        <f>SUM(G961:G962)</f>
        <v>0</v>
      </c>
      <c r="H960" s="394">
        <f>SUM(H961:H962)</f>
        <v>0</v>
      </c>
      <c r="I960" s="394">
        <f>SUM(I961:I962)</f>
        <v>0</v>
      </c>
      <c r="J960" s="395">
        <f>SUM(J961:J962)</f>
        <v>0</v>
      </c>
      <c r="K960" s="353"/>
    </row>
    <row r="961" spans="1:226" s="354" customFormat="1" ht="15" hidden="1" customHeight="1">
      <c r="A961" s="1547"/>
      <c r="B961" s="1548"/>
      <c r="C961" s="1572"/>
      <c r="D961" s="1572"/>
      <c r="E961" s="358"/>
      <c r="F961" s="359">
        <f>SUM(G961:J961)</f>
        <v>0</v>
      </c>
      <c r="G961" s="359"/>
      <c r="H961" s="359"/>
      <c r="I961" s="359"/>
      <c r="J961" s="360"/>
      <c r="K961" s="353"/>
    </row>
    <row r="962" spans="1:226" s="354" customFormat="1" ht="15" hidden="1" customHeight="1">
      <c r="A962" s="1547"/>
      <c r="B962" s="1548"/>
      <c r="C962" s="1572"/>
      <c r="D962" s="1572"/>
      <c r="E962" s="358"/>
      <c r="F962" s="359">
        <f>SUM(G962:J962)</f>
        <v>0</v>
      </c>
      <c r="G962" s="359"/>
      <c r="H962" s="359"/>
      <c r="I962" s="359"/>
      <c r="J962" s="360"/>
      <c r="K962" s="353"/>
    </row>
    <row r="963" spans="1:226" s="354" customFormat="1" ht="24.95" customHeight="1">
      <c r="A963" s="1547"/>
      <c r="B963" s="1548"/>
      <c r="C963" s="1572"/>
      <c r="D963" s="1572"/>
      <c r="E963" s="361" t="s">
        <v>318</v>
      </c>
      <c r="F963" s="356">
        <f>SUM(F964:F965)</f>
        <v>68000</v>
      </c>
      <c r="G963" s="356">
        <f>SUM(G964:G965)</f>
        <v>0</v>
      </c>
      <c r="H963" s="356">
        <f>SUM(H964:H965)</f>
        <v>0</v>
      </c>
      <c r="I963" s="356">
        <f>SUM(I964:I965)</f>
        <v>68000</v>
      </c>
      <c r="J963" s="357">
        <f>SUM(J964:J965)</f>
        <v>0</v>
      </c>
      <c r="K963" s="353"/>
    </row>
    <row r="964" spans="1:226" s="354" customFormat="1" ht="15" customHeight="1">
      <c r="A964" s="1547"/>
      <c r="B964" s="1548"/>
      <c r="C964" s="1572"/>
      <c r="D964" s="358" t="s">
        <v>234</v>
      </c>
      <c r="E964" s="358" t="s">
        <v>471</v>
      </c>
      <c r="F964" s="359">
        <f>SUM(G964:J964)</f>
        <v>68000</v>
      </c>
      <c r="G964" s="359"/>
      <c r="H964" s="359"/>
      <c r="I964" s="359">
        <v>68000</v>
      </c>
      <c r="J964" s="360"/>
      <c r="K964" s="353"/>
    </row>
    <row r="965" spans="1:226" s="354" customFormat="1" ht="15" hidden="1" customHeight="1">
      <c r="A965" s="1547"/>
      <c r="B965" s="1548"/>
      <c r="C965" s="1572"/>
      <c r="D965" s="358" t="s">
        <v>503</v>
      </c>
      <c r="E965" s="358" t="s">
        <v>471</v>
      </c>
      <c r="F965" s="359">
        <f>SUM(G965:J965)</f>
        <v>0</v>
      </c>
      <c r="G965" s="359"/>
      <c r="H965" s="359"/>
      <c r="I965" s="359"/>
      <c r="J965" s="360"/>
      <c r="K965" s="353"/>
      <c r="L965" s="353"/>
      <c r="M965" s="353"/>
      <c r="N965" s="353"/>
      <c r="O965" s="353"/>
      <c r="P965" s="353"/>
      <c r="Q965" s="353"/>
      <c r="R965" s="353"/>
      <c r="S965" s="353"/>
      <c r="T965" s="353"/>
      <c r="U965" s="353"/>
      <c r="V965" s="353"/>
      <c r="W965" s="353"/>
      <c r="X965" s="353"/>
      <c r="Y965" s="353"/>
      <c r="Z965" s="353"/>
      <c r="AA965" s="353"/>
      <c r="AB965" s="353"/>
      <c r="AC965" s="353"/>
      <c r="AD965" s="353"/>
      <c r="AE965" s="353"/>
      <c r="AF965" s="353"/>
      <c r="AG965" s="353"/>
      <c r="AH965" s="353"/>
      <c r="AI965" s="353"/>
      <c r="AJ965" s="353"/>
      <c r="AK965" s="353"/>
      <c r="AL965" s="353"/>
      <c r="AM965" s="353"/>
      <c r="AN965" s="353"/>
      <c r="AO965" s="353"/>
      <c r="AP965" s="353"/>
      <c r="AQ965" s="353"/>
      <c r="AR965" s="353"/>
      <c r="AS965" s="353"/>
      <c r="AT965" s="353"/>
      <c r="AU965" s="353"/>
      <c r="AV965" s="353"/>
      <c r="AW965" s="353"/>
      <c r="AX965" s="353"/>
      <c r="AY965" s="353"/>
      <c r="AZ965" s="353"/>
      <c r="BA965" s="353"/>
      <c r="BB965" s="353"/>
      <c r="BC965" s="353"/>
      <c r="BD965" s="353"/>
      <c r="BE965" s="353"/>
      <c r="BF965" s="353"/>
      <c r="BG965" s="353"/>
      <c r="BH965" s="353"/>
      <c r="BI965" s="353"/>
      <c r="BJ965" s="353"/>
      <c r="BK965" s="353"/>
      <c r="BL965" s="353"/>
      <c r="BM965" s="353"/>
      <c r="BN965" s="353"/>
      <c r="BO965" s="353"/>
      <c r="BP965" s="353"/>
      <c r="BQ965" s="353"/>
      <c r="BR965" s="353"/>
      <c r="BS965" s="353"/>
      <c r="BT965" s="353"/>
      <c r="BU965" s="353"/>
      <c r="BV965" s="353"/>
      <c r="BW965" s="353"/>
      <c r="BX965" s="353"/>
      <c r="BY965" s="353"/>
      <c r="BZ965" s="353"/>
      <c r="CA965" s="353"/>
      <c r="CB965" s="353"/>
      <c r="CC965" s="353"/>
      <c r="CD965" s="353"/>
      <c r="CE965" s="353"/>
      <c r="CF965" s="353"/>
      <c r="CG965" s="353"/>
      <c r="CH965" s="353"/>
      <c r="CI965" s="353"/>
      <c r="CJ965" s="353"/>
      <c r="CK965" s="353"/>
      <c r="CL965" s="353"/>
      <c r="CM965" s="353"/>
      <c r="CN965" s="353"/>
      <c r="CO965" s="353"/>
      <c r="CP965" s="353"/>
      <c r="CQ965" s="353"/>
      <c r="CR965" s="353"/>
      <c r="CS965" s="353"/>
      <c r="CT965" s="353"/>
      <c r="CU965" s="353"/>
      <c r="CV965" s="353"/>
      <c r="CW965" s="353"/>
      <c r="CX965" s="353"/>
      <c r="CY965" s="353"/>
      <c r="CZ965" s="353"/>
      <c r="DA965" s="353"/>
      <c r="DB965" s="353"/>
      <c r="DC965" s="353"/>
      <c r="DD965" s="353"/>
      <c r="DE965" s="353"/>
      <c r="DF965" s="353"/>
      <c r="DG965" s="353"/>
      <c r="DH965" s="353"/>
      <c r="DI965" s="353"/>
      <c r="DJ965" s="353"/>
      <c r="DK965" s="353"/>
      <c r="DL965" s="353"/>
      <c r="DM965" s="353"/>
      <c r="DN965" s="353"/>
      <c r="DO965" s="353"/>
      <c r="DP965" s="353"/>
      <c r="DQ965" s="353"/>
      <c r="DR965" s="353"/>
      <c r="DS965" s="353"/>
      <c r="DT965" s="353"/>
      <c r="DU965" s="353"/>
      <c r="DV965" s="353"/>
      <c r="DW965" s="353"/>
      <c r="DX965" s="353"/>
      <c r="DY965" s="353"/>
      <c r="DZ965" s="353"/>
      <c r="EA965" s="353"/>
      <c r="EB965" s="353"/>
      <c r="EC965" s="353"/>
      <c r="ED965" s="353"/>
      <c r="EE965" s="353"/>
      <c r="EF965" s="353"/>
      <c r="EG965" s="353"/>
      <c r="EH965" s="353"/>
      <c r="EI965" s="353"/>
      <c r="EJ965" s="353"/>
      <c r="EK965" s="353"/>
      <c r="EL965" s="353"/>
      <c r="EM965" s="353"/>
      <c r="EN965" s="353"/>
      <c r="EO965" s="353"/>
      <c r="EP965" s="353"/>
      <c r="EQ965" s="353"/>
      <c r="ER965" s="353"/>
      <c r="ES965" s="353"/>
      <c r="ET965" s="353"/>
      <c r="EU965" s="353"/>
      <c r="EV965" s="353"/>
      <c r="EW965" s="353"/>
      <c r="EX965" s="353"/>
      <c r="EY965" s="353"/>
      <c r="EZ965" s="353"/>
      <c r="FA965" s="353"/>
      <c r="FB965" s="353"/>
      <c r="FC965" s="353"/>
      <c r="FD965" s="353"/>
      <c r="FE965" s="353"/>
      <c r="FF965" s="353"/>
      <c r="FG965" s="353"/>
      <c r="FH965" s="353"/>
      <c r="FI965" s="353"/>
      <c r="FJ965" s="353"/>
      <c r="FK965" s="353"/>
      <c r="FL965" s="353"/>
      <c r="FM965" s="353"/>
      <c r="FN965" s="353"/>
      <c r="FO965" s="353"/>
      <c r="FP965" s="353"/>
      <c r="FQ965" s="353"/>
      <c r="FR965" s="353"/>
      <c r="FS965" s="353"/>
      <c r="FT965" s="353"/>
      <c r="FU965" s="353"/>
      <c r="FV965" s="353"/>
      <c r="FW965" s="353"/>
      <c r="FX965" s="353"/>
      <c r="FY965" s="353"/>
      <c r="FZ965" s="353"/>
      <c r="GA965" s="353"/>
      <c r="GB965" s="353"/>
      <c r="GC965" s="353"/>
      <c r="GD965" s="353"/>
      <c r="GE965" s="353"/>
      <c r="GF965" s="353"/>
      <c r="GG965" s="353"/>
      <c r="GH965" s="353"/>
      <c r="GI965" s="353"/>
      <c r="GJ965" s="353"/>
      <c r="GK965" s="353"/>
      <c r="GL965" s="353"/>
      <c r="GM965" s="353"/>
      <c r="GN965" s="353"/>
      <c r="GO965" s="353"/>
      <c r="GP965" s="353"/>
      <c r="GQ965" s="353"/>
      <c r="GR965" s="353"/>
      <c r="GS965" s="353"/>
      <c r="GT965" s="353"/>
      <c r="GU965" s="353"/>
      <c r="GV965" s="353"/>
      <c r="GW965" s="353"/>
      <c r="GX965" s="353"/>
      <c r="GY965" s="353"/>
      <c r="GZ965" s="353"/>
      <c r="HA965" s="353"/>
      <c r="HB965" s="353"/>
      <c r="HC965" s="353"/>
      <c r="HD965" s="353"/>
      <c r="HE965" s="353"/>
      <c r="HF965" s="353"/>
      <c r="HG965" s="353"/>
      <c r="HH965" s="353"/>
      <c r="HI965" s="353"/>
      <c r="HJ965" s="353"/>
      <c r="HK965" s="353"/>
      <c r="HL965" s="353"/>
      <c r="HM965" s="353"/>
      <c r="HN965" s="353"/>
      <c r="HO965" s="353"/>
      <c r="HP965" s="353"/>
      <c r="HQ965" s="353"/>
      <c r="HR965" s="353"/>
    </row>
    <row r="966" spans="1:226" s="354" customFormat="1" ht="24.95" customHeight="1">
      <c r="A966" s="1547" t="s">
        <v>352</v>
      </c>
      <c r="B966" s="1548" t="s">
        <v>506</v>
      </c>
      <c r="C966" s="1572" t="s">
        <v>122</v>
      </c>
      <c r="D966" s="1565"/>
      <c r="E966" s="350" t="s">
        <v>315</v>
      </c>
      <c r="F966" s="351">
        <f>SUM(F967,F974)</f>
        <v>136000</v>
      </c>
      <c r="G966" s="351">
        <f>SUM(G967,G974)</f>
        <v>0</v>
      </c>
      <c r="H966" s="351">
        <f>SUM(H967,H974)</f>
        <v>0</v>
      </c>
      <c r="I966" s="351">
        <f>SUM(I967,I974)</f>
        <v>136000</v>
      </c>
      <c r="J966" s="352">
        <f>SUM(J967,J974)</f>
        <v>0</v>
      </c>
      <c r="K966" s="353"/>
    </row>
    <row r="967" spans="1:226" s="354" customFormat="1" ht="24.95" customHeight="1">
      <c r="A967" s="1547"/>
      <c r="B967" s="1548"/>
      <c r="C967" s="1572"/>
      <c r="D967" s="1566"/>
      <c r="E967" s="355" t="s">
        <v>316</v>
      </c>
      <c r="F967" s="356">
        <f>SUM(F968,F971)</f>
        <v>0</v>
      </c>
      <c r="G967" s="356">
        <f>SUM(G968,G971)</f>
        <v>0</v>
      </c>
      <c r="H967" s="356">
        <f>SUM(H968,H971)</f>
        <v>0</v>
      </c>
      <c r="I967" s="356">
        <f>SUM(I968,I971)</f>
        <v>0</v>
      </c>
      <c r="J967" s="357">
        <f>SUM(J968,J971)</f>
        <v>0</v>
      </c>
      <c r="K967" s="353"/>
    </row>
    <row r="968" spans="1:226" s="354" customFormat="1" ht="24.95" hidden="1" customHeight="1">
      <c r="A968" s="1547"/>
      <c r="B968" s="1548"/>
      <c r="C968" s="1572"/>
      <c r="D968" s="1566"/>
      <c r="E968" s="393" t="s">
        <v>333</v>
      </c>
      <c r="F968" s="394">
        <f>SUM(F969:F970)</f>
        <v>0</v>
      </c>
      <c r="G968" s="394">
        <f>SUM(G969:G970)</f>
        <v>0</v>
      </c>
      <c r="H968" s="394">
        <f>SUM(H969:H970)</f>
        <v>0</v>
      </c>
      <c r="I968" s="394">
        <f>SUM(I969:I970)</f>
        <v>0</v>
      </c>
      <c r="J968" s="395">
        <f>SUM(J969:J970)</f>
        <v>0</v>
      </c>
      <c r="K968" s="353"/>
    </row>
    <row r="969" spans="1:226" s="354" customFormat="1" ht="15" hidden="1" customHeight="1">
      <c r="A969" s="1547"/>
      <c r="B969" s="1548"/>
      <c r="C969" s="1572"/>
      <c r="D969" s="1566"/>
      <c r="E969" s="358"/>
      <c r="F969" s="359">
        <f>SUM(G969:J969)</f>
        <v>0</v>
      </c>
      <c r="G969" s="359"/>
      <c r="H969" s="359"/>
      <c r="I969" s="359"/>
      <c r="J969" s="360"/>
      <c r="K969" s="353"/>
    </row>
    <row r="970" spans="1:226" s="354" customFormat="1" ht="15" hidden="1" customHeight="1">
      <c r="A970" s="1547"/>
      <c r="B970" s="1548"/>
      <c r="C970" s="1572"/>
      <c r="D970" s="1566"/>
      <c r="E970" s="358"/>
      <c r="F970" s="359">
        <f>SUM(G970:J970)</f>
        <v>0</v>
      </c>
      <c r="G970" s="359"/>
      <c r="H970" s="359"/>
      <c r="I970" s="359"/>
      <c r="J970" s="360"/>
      <c r="K970" s="353"/>
    </row>
    <row r="971" spans="1:226" s="354" customFormat="1" ht="24.95" hidden="1" customHeight="1">
      <c r="A971" s="1547"/>
      <c r="B971" s="1548"/>
      <c r="C971" s="1572"/>
      <c r="D971" s="1566"/>
      <c r="E971" s="393" t="s">
        <v>338</v>
      </c>
      <c r="F971" s="394">
        <f>SUM(F972:F973)</f>
        <v>0</v>
      </c>
      <c r="G971" s="394">
        <f>SUM(G972:G973)</f>
        <v>0</v>
      </c>
      <c r="H971" s="394">
        <f>SUM(H972:H973)</f>
        <v>0</v>
      </c>
      <c r="I971" s="394">
        <f>SUM(I972:I973)</f>
        <v>0</v>
      </c>
      <c r="J971" s="395">
        <f>SUM(J972:J973)</f>
        <v>0</v>
      </c>
      <c r="K971" s="353"/>
    </row>
    <row r="972" spans="1:226" s="354" customFormat="1" ht="15" hidden="1" customHeight="1">
      <c r="A972" s="1547"/>
      <c r="B972" s="1548"/>
      <c r="C972" s="1572"/>
      <c r="D972" s="1566"/>
      <c r="E972" s="358"/>
      <c r="F972" s="359">
        <f>SUM(G972:J972)</f>
        <v>0</v>
      </c>
      <c r="G972" s="359"/>
      <c r="H972" s="359"/>
      <c r="I972" s="359"/>
      <c r="J972" s="360"/>
      <c r="K972" s="353"/>
    </row>
    <row r="973" spans="1:226" s="354" customFormat="1" ht="15" hidden="1" customHeight="1">
      <c r="A973" s="1547"/>
      <c r="B973" s="1548"/>
      <c r="C973" s="1572"/>
      <c r="D973" s="1566"/>
      <c r="E973" s="358"/>
      <c r="F973" s="359">
        <f>SUM(G973:J973)</f>
        <v>0</v>
      </c>
      <c r="G973" s="359"/>
      <c r="H973" s="359"/>
      <c r="I973" s="359"/>
      <c r="J973" s="360"/>
      <c r="K973" s="353"/>
    </row>
    <row r="974" spans="1:226" s="354" customFormat="1" ht="24.95" customHeight="1">
      <c r="A974" s="1547"/>
      <c r="B974" s="1548"/>
      <c r="C974" s="1572"/>
      <c r="D974" s="1567"/>
      <c r="E974" s="361" t="s">
        <v>318</v>
      </c>
      <c r="F974" s="356">
        <f>SUM(F975:F976)</f>
        <v>136000</v>
      </c>
      <c r="G974" s="356">
        <f>SUM(G975:G976)</f>
        <v>0</v>
      </c>
      <c r="H974" s="356">
        <f>SUM(H975:H976)</f>
        <v>0</v>
      </c>
      <c r="I974" s="356">
        <f>SUM(I975:I976)</f>
        <v>136000</v>
      </c>
      <c r="J974" s="357">
        <f>SUM(J975:J976)</f>
        <v>0</v>
      </c>
      <c r="K974" s="353"/>
    </row>
    <row r="975" spans="1:226" s="354" customFormat="1" ht="15" customHeight="1">
      <c r="A975" s="1547"/>
      <c r="B975" s="1548"/>
      <c r="C975" s="1572"/>
      <c r="D975" s="358" t="s">
        <v>234</v>
      </c>
      <c r="E975" s="358" t="s">
        <v>471</v>
      </c>
      <c r="F975" s="359">
        <f>SUM(G975:J975)</f>
        <v>136000</v>
      </c>
      <c r="G975" s="359"/>
      <c r="H975" s="359"/>
      <c r="I975" s="359">
        <v>136000</v>
      </c>
      <c r="J975" s="360"/>
      <c r="K975" s="353"/>
    </row>
    <row r="976" spans="1:226" s="354" customFormat="1" ht="15" hidden="1" customHeight="1">
      <c r="A976" s="1556"/>
      <c r="B976" s="1559"/>
      <c r="C976" s="1565"/>
      <c r="D976" s="363" t="s">
        <v>503</v>
      </c>
      <c r="E976" s="363" t="s">
        <v>471</v>
      </c>
      <c r="F976" s="412">
        <f>SUM(G976:J976)</f>
        <v>0</v>
      </c>
      <c r="G976" s="412"/>
      <c r="H976" s="412"/>
      <c r="I976" s="412"/>
      <c r="J976" s="413"/>
      <c r="K976" s="353"/>
      <c r="L976" s="353"/>
      <c r="M976" s="353"/>
      <c r="N976" s="353"/>
      <c r="O976" s="353"/>
      <c r="P976" s="353"/>
      <c r="Q976" s="353"/>
      <c r="R976" s="353"/>
      <c r="S976" s="353"/>
      <c r="T976" s="353"/>
      <c r="U976" s="353"/>
      <c r="V976" s="353"/>
      <c r="W976" s="353"/>
      <c r="X976" s="353"/>
      <c r="Y976" s="353"/>
      <c r="Z976" s="353"/>
      <c r="AA976" s="353"/>
      <c r="AB976" s="353"/>
      <c r="AC976" s="353"/>
      <c r="AD976" s="353"/>
      <c r="AE976" s="353"/>
      <c r="AF976" s="353"/>
      <c r="AG976" s="353"/>
      <c r="AH976" s="353"/>
      <c r="AI976" s="353"/>
      <c r="AJ976" s="353"/>
      <c r="AK976" s="353"/>
      <c r="AL976" s="353"/>
      <c r="AM976" s="353"/>
      <c r="AN976" s="353"/>
      <c r="AO976" s="353"/>
      <c r="AP976" s="353"/>
      <c r="AQ976" s="353"/>
      <c r="AR976" s="353"/>
      <c r="AS976" s="353"/>
      <c r="AT976" s="353"/>
      <c r="AU976" s="353"/>
      <c r="AV976" s="353"/>
      <c r="AW976" s="353"/>
      <c r="AX976" s="353"/>
      <c r="AY976" s="353"/>
      <c r="AZ976" s="353"/>
      <c r="BA976" s="353"/>
      <c r="BB976" s="353"/>
      <c r="BC976" s="353"/>
      <c r="BD976" s="353"/>
      <c r="BE976" s="353"/>
      <c r="BF976" s="353"/>
      <c r="BG976" s="353"/>
      <c r="BH976" s="353"/>
      <c r="BI976" s="353"/>
      <c r="BJ976" s="353"/>
      <c r="BK976" s="353"/>
      <c r="BL976" s="353"/>
      <c r="BM976" s="353"/>
      <c r="BN976" s="353"/>
      <c r="BO976" s="353"/>
      <c r="BP976" s="353"/>
      <c r="BQ976" s="353"/>
      <c r="BR976" s="353"/>
      <c r="BS976" s="353"/>
      <c r="BT976" s="353"/>
      <c r="BU976" s="353"/>
      <c r="BV976" s="353"/>
      <c r="BW976" s="353"/>
      <c r="BX976" s="353"/>
      <c r="BY976" s="353"/>
      <c r="BZ976" s="353"/>
      <c r="CA976" s="353"/>
      <c r="CB976" s="353"/>
      <c r="CC976" s="353"/>
      <c r="CD976" s="353"/>
      <c r="CE976" s="353"/>
      <c r="CF976" s="353"/>
      <c r="CG976" s="353"/>
      <c r="CH976" s="353"/>
      <c r="CI976" s="353"/>
      <c r="CJ976" s="353"/>
      <c r="CK976" s="353"/>
      <c r="CL976" s="353"/>
      <c r="CM976" s="353"/>
      <c r="CN976" s="353"/>
      <c r="CO976" s="353"/>
      <c r="CP976" s="353"/>
      <c r="CQ976" s="353"/>
      <c r="CR976" s="353"/>
      <c r="CS976" s="353"/>
      <c r="CT976" s="353"/>
      <c r="CU976" s="353"/>
      <c r="CV976" s="353"/>
      <c r="CW976" s="353"/>
      <c r="CX976" s="353"/>
      <c r="CY976" s="353"/>
      <c r="CZ976" s="353"/>
      <c r="DA976" s="353"/>
      <c r="DB976" s="353"/>
      <c r="DC976" s="353"/>
      <c r="DD976" s="353"/>
      <c r="DE976" s="353"/>
      <c r="DF976" s="353"/>
      <c r="DG976" s="353"/>
      <c r="DH976" s="353"/>
      <c r="DI976" s="353"/>
      <c r="DJ976" s="353"/>
      <c r="DK976" s="353"/>
      <c r="DL976" s="353"/>
      <c r="DM976" s="353"/>
      <c r="DN976" s="353"/>
      <c r="DO976" s="353"/>
      <c r="DP976" s="353"/>
      <c r="DQ976" s="353"/>
      <c r="DR976" s="353"/>
      <c r="DS976" s="353"/>
      <c r="DT976" s="353"/>
      <c r="DU976" s="353"/>
      <c r="DV976" s="353"/>
      <c r="DW976" s="353"/>
      <c r="DX976" s="353"/>
      <c r="DY976" s="353"/>
      <c r="DZ976" s="353"/>
      <c r="EA976" s="353"/>
      <c r="EB976" s="353"/>
      <c r="EC976" s="353"/>
      <c r="ED976" s="353"/>
      <c r="EE976" s="353"/>
      <c r="EF976" s="353"/>
      <c r="EG976" s="353"/>
      <c r="EH976" s="353"/>
      <c r="EI976" s="353"/>
      <c r="EJ976" s="353"/>
      <c r="EK976" s="353"/>
      <c r="EL976" s="353"/>
      <c r="EM976" s="353"/>
      <c r="EN976" s="353"/>
      <c r="EO976" s="353"/>
      <c r="EP976" s="353"/>
      <c r="EQ976" s="353"/>
      <c r="ER976" s="353"/>
      <c r="ES976" s="353"/>
      <c r="ET976" s="353"/>
      <c r="EU976" s="353"/>
      <c r="EV976" s="353"/>
      <c r="EW976" s="353"/>
      <c r="EX976" s="353"/>
      <c r="EY976" s="353"/>
      <c r="EZ976" s="353"/>
      <c r="FA976" s="353"/>
      <c r="FB976" s="353"/>
      <c r="FC976" s="353"/>
      <c r="FD976" s="353"/>
      <c r="FE976" s="353"/>
      <c r="FF976" s="353"/>
      <c r="FG976" s="353"/>
      <c r="FH976" s="353"/>
      <c r="FI976" s="353"/>
      <c r="FJ976" s="353"/>
      <c r="FK976" s="353"/>
      <c r="FL976" s="353"/>
      <c r="FM976" s="353"/>
      <c r="FN976" s="353"/>
      <c r="FO976" s="353"/>
      <c r="FP976" s="353"/>
      <c r="FQ976" s="353"/>
      <c r="FR976" s="353"/>
      <c r="FS976" s="353"/>
      <c r="FT976" s="353"/>
      <c r="FU976" s="353"/>
      <c r="FV976" s="353"/>
      <c r="FW976" s="353"/>
      <c r="FX976" s="353"/>
      <c r="FY976" s="353"/>
      <c r="FZ976" s="353"/>
      <c r="GA976" s="353"/>
      <c r="GB976" s="353"/>
      <c r="GC976" s="353"/>
      <c r="GD976" s="353"/>
      <c r="GE976" s="353"/>
      <c r="GF976" s="353"/>
      <c r="GG976" s="353"/>
      <c r="GH976" s="353"/>
      <c r="GI976" s="353"/>
      <c r="GJ976" s="353"/>
      <c r="GK976" s="353"/>
      <c r="GL976" s="353"/>
      <c r="GM976" s="353"/>
      <c r="GN976" s="353"/>
      <c r="GO976" s="353"/>
      <c r="GP976" s="353"/>
      <c r="GQ976" s="353"/>
      <c r="GR976" s="353"/>
      <c r="GS976" s="353"/>
      <c r="GT976" s="353"/>
      <c r="GU976" s="353"/>
      <c r="GV976" s="353"/>
      <c r="GW976" s="353"/>
      <c r="GX976" s="353"/>
      <c r="GY976" s="353"/>
      <c r="GZ976" s="353"/>
      <c r="HA976" s="353"/>
      <c r="HB976" s="353"/>
      <c r="HC976" s="353"/>
      <c r="HD976" s="353"/>
      <c r="HE976" s="353"/>
      <c r="HF976" s="353"/>
      <c r="HG976" s="353"/>
      <c r="HH976" s="353"/>
      <c r="HI976" s="353"/>
      <c r="HJ976" s="353"/>
      <c r="HK976" s="353"/>
      <c r="HL976" s="353"/>
      <c r="HM976" s="353"/>
      <c r="HN976" s="353"/>
      <c r="HO976" s="353"/>
      <c r="HP976" s="353"/>
      <c r="HQ976" s="353"/>
      <c r="HR976" s="353"/>
    </row>
    <row r="977" spans="1:226" s="354" customFormat="1" ht="24.95" customHeight="1">
      <c r="A977" s="1547" t="s">
        <v>356</v>
      </c>
      <c r="B977" s="1548" t="s">
        <v>507</v>
      </c>
      <c r="C977" s="1572" t="s">
        <v>122</v>
      </c>
      <c r="D977" s="1565"/>
      <c r="E977" s="350" t="s">
        <v>315</v>
      </c>
      <c r="F977" s="351">
        <f>SUM(F978,F985)</f>
        <v>1269000</v>
      </c>
      <c r="G977" s="351">
        <f>SUM(G978,G985)</f>
        <v>0</v>
      </c>
      <c r="H977" s="351">
        <f>SUM(H978,H985)</f>
        <v>0</v>
      </c>
      <c r="I977" s="351">
        <f>SUM(I978,I985)</f>
        <v>1269000</v>
      </c>
      <c r="J977" s="352">
        <f>SUM(J978,J985)</f>
        <v>0</v>
      </c>
      <c r="K977" s="353"/>
    </row>
    <row r="978" spans="1:226" s="354" customFormat="1" ht="24.95" customHeight="1">
      <c r="A978" s="1547"/>
      <c r="B978" s="1548"/>
      <c r="C978" s="1572"/>
      <c r="D978" s="1566"/>
      <c r="E978" s="355" t="s">
        <v>316</v>
      </c>
      <c r="F978" s="356">
        <f>SUM(F979,F982)</f>
        <v>0</v>
      </c>
      <c r="G978" s="356">
        <f>SUM(G979,G982)</f>
        <v>0</v>
      </c>
      <c r="H978" s="356">
        <f>SUM(H979,H982)</f>
        <v>0</v>
      </c>
      <c r="I978" s="356">
        <f>SUM(I979,I982)</f>
        <v>0</v>
      </c>
      <c r="J978" s="357">
        <f>SUM(J979,J982)</f>
        <v>0</v>
      </c>
      <c r="K978" s="353"/>
    </row>
    <row r="979" spans="1:226" s="354" customFormat="1" ht="24.95" hidden="1" customHeight="1">
      <c r="A979" s="1547"/>
      <c r="B979" s="1548"/>
      <c r="C979" s="1572"/>
      <c r="D979" s="1566"/>
      <c r="E979" s="393" t="s">
        <v>333</v>
      </c>
      <c r="F979" s="394">
        <f>SUM(F980:F981)</f>
        <v>0</v>
      </c>
      <c r="G979" s="394">
        <f>SUM(G980:G981)</f>
        <v>0</v>
      </c>
      <c r="H979" s="394">
        <f>SUM(H980:H981)</f>
        <v>0</v>
      </c>
      <c r="I979" s="394">
        <f>SUM(I980:I981)</f>
        <v>0</v>
      </c>
      <c r="J979" s="395">
        <f>SUM(J980:J981)</f>
        <v>0</v>
      </c>
      <c r="K979" s="353"/>
    </row>
    <row r="980" spans="1:226" s="354" customFormat="1" ht="15" hidden="1" customHeight="1">
      <c r="A980" s="1547"/>
      <c r="B980" s="1548"/>
      <c r="C980" s="1572"/>
      <c r="D980" s="1566"/>
      <c r="E980" s="358"/>
      <c r="F980" s="359">
        <f>SUM(G980:J980)</f>
        <v>0</v>
      </c>
      <c r="G980" s="359"/>
      <c r="H980" s="359"/>
      <c r="I980" s="359"/>
      <c r="J980" s="360"/>
      <c r="K980" s="353"/>
    </row>
    <row r="981" spans="1:226" s="354" customFormat="1" ht="15" hidden="1" customHeight="1">
      <c r="A981" s="1547"/>
      <c r="B981" s="1548"/>
      <c r="C981" s="1572"/>
      <c r="D981" s="1566"/>
      <c r="E981" s="358"/>
      <c r="F981" s="359">
        <f>SUM(G981:J981)</f>
        <v>0</v>
      </c>
      <c r="G981" s="359"/>
      <c r="H981" s="359"/>
      <c r="I981" s="359"/>
      <c r="J981" s="360"/>
      <c r="K981" s="353"/>
    </row>
    <row r="982" spans="1:226" s="354" customFormat="1" ht="24.95" hidden="1" customHeight="1">
      <c r="A982" s="1547"/>
      <c r="B982" s="1548"/>
      <c r="C982" s="1572"/>
      <c r="D982" s="1566"/>
      <c r="E982" s="393" t="s">
        <v>338</v>
      </c>
      <c r="F982" s="394">
        <f>SUM(F983:F984)</f>
        <v>0</v>
      </c>
      <c r="G982" s="394">
        <f>SUM(G983:G984)</f>
        <v>0</v>
      </c>
      <c r="H982" s="394">
        <f>SUM(H983:H984)</f>
        <v>0</v>
      </c>
      <c r="I982" s="394">
        <f>SUM(I983:I984)</f>
        <v>0</v>
      </c>
      <c r="J982" s="395">
        <f>SUM(J983:J984)</f>
        <v>0</v>
      </c>
      <c r="K982" s="353"/>
    </row>
    <row r="983" spans="1:226" s="354" customFormat="1" ht="15" hidden="1" customHeight="1">
      <c r="A983" s="1547"/>
      <c r="B983" s="1548"/>
      <c r="C983" s="1572"/>
      <c r="D983" s="1566"/>
      <c r="E983" s="358"/>
      <c r="F983" s="359">
        <f>SUM(G983:J983)</f>
        <v>0</v>
      </c>
      <c r="G983" s="359"/>
      <c r="H983" s="359"/>
      <c r="I983" s="359"/>
      <c r="J983" s="360"/>
      <c r="K983" s="353"/>
    </row>
    <row r="984" spans="1:226" s="354" customFormat="1" ht="15" hidden="1" customHeight="1">
      <c r="A984" s="1547"/>
      <c r="B984" s="1548"/>
      <c r="C984" s="1572"/>
      <c r="D984" s="1566"/>
      <c r="E984" s="358"/>
      <c r="F984" s="359">
        <f>SUM(G984:J984)</f>
        <v>0</v>
      </c>
      <c r="G984" s="359"/>
      <c r="H984" s="359"/>
      <c r="I984" s="359"/>
      <c r="J984" s="360"/>
      <c r="K984" s="353"/>
    </row>
    <row r="985" spans="1:226" s="354" customFormat="1" ht="24.95" customHeight="1">
      <c r="A985" s="1547"/>
      <c r="B985" s="1548"/>
      <c r="C985" s="1572"/>
      <c r="D985" s="1567"/>
      <c r="E985" s="361" t="s">
        <v>318</v>
      </c>
      <c r="F985" s="356">
        <f>SUM(F986:F987)</f>
        <v>1269000</v>
      </c>
      <c r="G985" s="356">
        <f>SUM(G986:G987)</f>
        <v>0</v>
      </c>
      <c r="H985" s="356">
        <f>SUM(H986:H987)</f>
        <v>0</v>
      </c>
      <c r="I985" s="356">
        <f>SUM(I986:I987)</f>
        <v>1269000</v>
      </c>
      <c r="J985" s="357">
        <f>SUM(J986:J987)</f>
        <v>0</v>
      </c>
      <c r="K985" s="353"/>
    </row>
    <row r="986" spans="1:226" s="354" customFormat="1" ht="15" customHeight="1">
      <c r="A986" s="1547"/>
      <c r="B986" s="1548"/>
      <c r="C986" s="1572"/>
      <c r="D986" s="358" t="s">
        <v>234</v>
      </c>
      <c r="E986" s="358" t="s">
        <v>471</v>
      </c>
      <c r="F986" s="359">
        <f>SUM(G986:J986)</f>
        <v>69000</v>
      </c>
      <c r="G986" s="359"/>
      <c r="H986" s="359"/>
      <c r="I986" s="359">
        <v>69000</v>
      </c>
      <c r="J986" s="360"/>
      <c r="K986" s="353"/>
    </row>
    <row r="987" spans="1:226" s="354" customFormat="1" ht="15" customHeight="1">
      <c r="A987" s="1547"/>
      <c r="B987" s="1548"/>
      <c r="C987" s="1572"/>
      <c r="D987" s="358" t="s">
        <v>503</v>
      </c>
      <c r="E987" s="358" t="s">
        <v>472</v>
      </c>
      <c r="F987" s="359">
        <f>SUM(G987:J987)</f>
        <v>1200000</v>
      </c>
      <c r="G987" s="359"/>
      <c r="H987" s="359"/>
      <c r="I987" s="359">
        <v>1200000</v>
      </c>
      <c r="J987" s="360"/>
      <c r="K987" s="353"/>
      <c r="L987" s="353"/>
      <c r="M987" s="353"/>
      <c r="N987" s="353"/>
      <c r="O987" s="353"/>
      <c r="P987" s="353"/>
      <c r="Q987" s="353"/>
      <c r="R987" s="353"/>
      <c r="S987" s="353"/>
      <c r="T987" s="353"/>
      <c r="U987" s="353"/>
      <c r="V987" s="353"/>
      <c r="W987" s="353"/>
      <c r="X987" s="353"/>
      <c r="Y987" s="353"/>
      <c r="Z987" s="353"/>
      <c r="AA987" s="353"/>
      <c r="AB987" s="353"/>
      <c r="AC987" s="353"/>
      <c r="AD987" s="353"/>
      <c r="AE987" s="353"/>
      <c r="AF987" s="353"/>
      <c r="AG987" s="353"/>
      <c r="AH987" s="353"/>
      <c r="AI987" s="353"/>
      <c r="AJ987" s="353"/>
      <c r="AK987" s="353"/>
      <c r="AL987" s="353"/>
      <c r="AM987" s="353"/>
      <c r="AN987" s="353"/>
      <c r="AO987" s="353"/>
      <c r="AP987" s="353"/>
      <c r="AQ987" s="353"/>
      <c r="AR987" s="353"/>
      <c r="AS987" s="353"/>
      <c r="AT987" s="353"/>
      <c r="AU987" s="353"/>
      <c r="AV987" s="353"/>
      <c r="AW987" s="353"/>
      <c r="AX987" s="353"/>
      <c r="AY987" s="353"/>
      <c r="AZ987" s="353"/>
      <c r="BA987" s="353"/>
      <c r="BB987" s="353"/>
      <c r="BC987" s="353"/>
      <c r="BD987" s="353"/>
      <c r="BE987" s="353"/>
      <c r="BF987" s="353"/>
      <c r="BG987" s="353"/>
      <c r="BH987" s="353"/>
      <c r="BI987" s="353"/>
      <c r="BJ987" s="353"/>
      <c r="BK987" s="353"/>
      <c r="BL987" s="353"/>
      <c r="BM987" s="353"/>
      <c r="BN987" s="353"/>
      <c r="BO987" s="353"/>
      <c r="BP987" s="353"/>
      <c r="BQ987" s="353"/>
      <c r="BR987" s="353"/>
      <c r="BS987" s="353"/>
      <c r="BT987" s="353"/>
      <c r="BU987" s="353"/>
      <c r="BV987" s="353"/>
      <c r="BW987" s="353"/>
      <c r="BX987" s="353"/>
      <c r="BY987" s="353"/>
      <c r="BZ987" s="353"/>
      <c r="CA987" s="353"/>
      <c r="CB987" s="353"/>
      <c r="CC987" s="353"/>
      <c r="CD987" s="353"/>
      <c r="CE987" s="353"/>
      <c r="CF987" s="353"/>
      <c r="CG987" s="353"/>
      <c r="CH987" s="353"/>
      <c r="CI987" s="353"/>
      <c r="CJ987" s="353"/>
      <c r="CK987" s="353"/>
      <c r="CL987" s="353"/>
      <c r="CM987" s="353"/>
      <c r="CN987" s="353"/>
      <c r="CO987" s="353"/>
      <c r="CP987" s="353"/>
      <c r="CQ987" s="353"/>
      <c r="CR987" s="353"/>
      <c r="CS987" s="353"/>
      <c r="CT987" s="353"/>
      <c r="CU987" s="353"/>
      <c r="CV987" s="353"/>
      <c r="CW987" s="353"/>
      <c r="CX987" s="353"/>
      <c r="CY987" s="353"/>
      <c r="CZ987" s="353"/>
      <c r="DA987" s="353"/>
      <c r="DB987" s="353"/>
      <c r="DC987" s="353"/>
      <c r="DD987" s="353"/>
      <c r="DE987" s="353"/>
      <c r="DF987" s="353"/>
      <c r="DG987" s="353"/>
      <c r="DH987" s="353"/>
      <c r="DI987" s="353"/>
      <c r="DJ987" s="353"/>
      <c r="DK987" s="353"/>
      <c r="DL987" s="353"/>
      <c r="DM987" s="353"/>
      <c r="DN987" s="353"/>
      <c r="DO987" s="353"/>
      <c r="DP987" s="353"/>
      <c r="DQ987" s="353"/>
      <c r="DR987" s="353"/>
      <c r="DS987" s="353"/>
      <c r="DT987" s="353"/>
      <c r="DU987" s="353"/>
      <c r="DV987" s="353"/>
      <c r="DW987" s="353"/>
      <c r="DX987" s="353"/>
      <c r="DY987" s="353"/>
      <c r="DZ987" s="353"/>
      <c r="EA987" s="353"/>
      <c r="EB987" s="353"/>
      <c r="EC987" s="353"/>
      <c r="ED987" s="353"/>
      <c r="EE987" s="353"/>
      <c r="EF987" s="353"/>
      <c r="EG987" s="353"/>
      <c r="EH987" s="353"/>
      <c r="EI987" s="353"/>
      <c r="EJ987" s="353"/>
      <c r="EK987" s="353"/>
      <c r="EL987" s="353"/>
      <c r="EM987" s="353"/>
      <c r="EN987" s="353"/>
      <c r="EO987" s="353"/>
      <c r="EP987" s="353"/>
      <c r="EQ987" s="353"/>
      <c r="ER987" s="353"/>
      <c r="ES987" s="353"/>
      <c r="ET987" s="353"/>
      <c r="EU987" s="353"/>
      <c r="EV987" s="353"/>
      <c r="EW987" s="353"/>
      <c r="EX987" s="353"/>
      <c r="EY987" s="353"/>
      <c r="EZ987" s="353"/>
      <c r="FA987" s="353"/>
      <c r="FB987" s="353"/>
      <c r="FC987" s="353"/>
      <c r="FD987" s="353"/>
      <c r="FE987" s="353"/>
      <c r="FF987" s="353"/>
      <c r="FG987" s="353"/>
      <c r="FH987" s="353"/>
      <c r="FI987" s="353"/>
      <c r="FJ987" s="353"/>
      <c r="FK987" s="353"/>
      <c r="FL987" s="353"/>
      <c r="FM987" s="353"/>
      <c r="FN987" s="353"/>
      <c r="FO987" s="353"/>
      <c r="FP987" s="353"/>
      <c r="FQ987" s="353"/>
      <c r="FR987" s="353"/>
      <c r="FS987" s="353"/>
      <c r="FT987" s="353"/>
      <c r="FU987" s="353"/>
      <c r="FV987" s="353"/>
      <c r="FW987" s="353"/>
      <c r="FX987" s="353"/>
      <c r="FY987" s="353"/>
      <c r="FZ987" s="353"/>
      <c r="GA987" s="353"/>
      <c r="GB987" s="353"/>
      <c r="GC987" s="353"/>
      <c r="GD987" s="353"/>
      <c r="GE987" s="353"/>
      <c r="GF987" s="353"/>
      <c r="GG987" s="353"/>
      <c r="GH987" s="353"/>
      <c r="GI987" s="353"/>
      <c r="GJ987" s="353"/>
      <c r="GK987" s="353"/>
      <c r="GL987" s="353"/>
      <c r="GM987" s="353"/>
      <c r="GN987" s="353"/>
      <c r="GO987" s="353"/>
      <c r="GP987" s="353"/>
      <c r="GQ987" s="353"/>
      <c r="GR987" s="353"/>
      <c r="GS987" s="353"/>
      <c r="GT987" s="353"/>
      <c r="GU987" s="353"/>
      <c r="GV987" s="353"/>
      <c r="GW987" s="353"/>
      <c r="GX987" s="353"/>
      <c r="GY987" s="353"/>
      <c r="GZ987" s="353"/>
      <c r="HA987" s="353"/>
      <c r="HB987" s="353"/>
      <c r="HC987" s="353"/>
      <c r="HD987" s="353"/>
      <c r="HE987" s="353"/>
      <c r="HF987" s="353"/>
      <c r="HG987" s="353"/>
      <c r="HH987" s="353"/>
      <c r="HI987" s="353"/>
      <c r="HJ987" s="353"/>
      <c r="HK987" s="353"/>
      <c r="HL987" s="353"/>
      <c r="HM987" s="353"/>
      <c r="HN987" s="353"/>
      <c r="HO987" s="353"/>
      <c r="HP987" s="353"/>
      <c r="HQ987" s="353"/>
      <c r="HR987" s="353"/>
    </row>
    <row r="988" spans="1:226" s="354" customFormat="1" ht="24.95" customHeight="1">
      <c r="A988" s="1547" t="s">
        <v>360</v>
      </c>
      <c r="B988" s="1548" t="s">
        <v>508</v>
      </c>
      <c r="C988" s="1572" t="s">
        <v>122</v>
      </c>
      <c r="D988" s="1565"/>
      <c r="E988" s="350" t="s">
        <v>315</v>
      </c>
      <c r="F988" s="351">
        <f>SUM(F989,F996)</f>
        <v>140000</v>
      </c>
      <c r="G988" s="351">
        <f>SUM(G989,G996)</f>
        <v>0</v>
      </c>
      <c r="H988" s="351">
        <f>SUM(H989,H996)</f>
        <v>0</v>
      </c>
      <c r="I988" s="351">
        <f>SUM(I989,I996)</f>
        <v>140000</v>
      </c>
      <c r="J988" s="352">
        <f>SUM(J989,J996)</f>
        <v>0</v>
      </c>
      <c r="K988" s="353"/>
    </row>
    <row r="989" spans="1:226" s="354" customFormat="1" ht="24.95" customHeight="1">
      <c r="A989" s="1547"/>
      <c r="B989" s="1548"/>
      <c r="C989" s="1572"/>
      <c r="D989" s="1566"/>
      <c r="E989" s="355" t="s">
        <v>316</v>
      </c>
      <c r="F989" s="356">
        <f>SUM(F990,F993)</f>
        <v>0</v>
      </c>
      <c r="G989" s="356">
        <f>SUM(G990,G993)</f>
        <v>0</v>
      </c>
      <c r="H989" s="356">
        <f>SUM(H990,H993)</f>
        <v>0</v>
      </c>
      <c r="I989" s="356">
        <f>SUM(I990,I993)</f>
        <v>0</v>
      </c>
      <c r="J989" s="357">
        <f>SUM(J990,J993)</f>
        <v>0</v>
      </c>
      <c r="K989" s="353"/>
    </row>
    <row r="990" spans="1:226" s="354" customFormat="1" ht="24.95" hidden="1" customHeight="1">
      <c r="A990" s="1547"/>
      <c r="B990" s="1548"/>
      <c r="C990" s="1572"/>
      <c r="D990" s="1566"/>
      <c r="E990" s="393" t="s">
        <v>333</v>
      </c>
      <c r="F990" s="394">
        <f>SUM(F991:F992)</f>
        <v>0</v>
      </c>
      <c r="G990" s="394">
        <f>SUM(G991:G992)</f>
        <v>0</v>
      </c>
      <c r="H990" s="394">
        <f>SUM(H991:H992)</f>
        <v>0</v>
      </c>
      <c r="I990" s="394">
        <f>SUM(I991:I992)</f>
        <v>0</v>
      </c>
      <c r="J990" s="395">
        <f>SUM(J991:J992)</f>
        <v>0</v>
      </c>
      <c r="K990" s="353"/>
    </row>
    <row r="991" spans="1:226" s="354" customFormat="1" ht="15" hidden="1" customHeight="1">
      <c r="A991" s="1547"/>
      <c r="B991" s="1548"/>
      <c r="C991" s="1572"/>
      <c r="D991" s="1566"/>
      <c r="E991" s="358"/>
      <c r="F991" s="359">
        <f>SUM(G991:J991)</f>
        <v>0</v>
      </c>
      <c r="G991" s="359"/>
      <c r="H991" s="359"/>
      <c r="I991" s="359"/>
      <c r="J991" s="360"/>
      <c r="K991" s="353"/>
    </row>
    <row r="992" spans="1:226" s="354" customFormat="1" ht="15" hidden="1" customHeight="1">
      <c r="A992" s="1547"/>
      <c r="B992" s="1548"/>
      <c r="C992" s="1572"/>
      <c r="D992" s="1566"/>
      <c r="E992" s="358"/>
      <c r="F992" s="359">
        <f>SUM(G992:J992)</f>
        <v>0</v>
      </c>
      <c r="G992" s="359"/>
      <c r="H992" s="359"/>
      <c r="I992" s="359"/>
      <c r="J992" s="360"/>
      <c r="K992" s="353"/>
    </row>
    <row r="993" spans="1:226" s="354" customFormat="1" ht="24.95" hidden="1" customHeight="1">
      <c r="A993" s="1547"/>
      <c r="B993" s="1548"/>
      <c r="C993" s="1572"/>
      <c r="D993" s="1566"/>
      <c r="E993" s="393" t="s">
        <v>338</v>
      </c>
      <c r="F993" s="394">
        <f>SUM(F994:F995)</f>
        <v>0</v>
      </c>
      <c r="G993" s="394">
        <f>SUM(G994:G995)</f>
        <v>0</v>
      </c>
      <c r="H993" s="394">
        <f>SUM(H994:H995)</f>
        <v>0</v>
      </c>
      <c r="I993" s="394">
        <f>SUM(I994:I995)</f>
        <v>0</v>
      </c>
      <c r="J993" s="395">
        <f>SUM(J994:J995)</f>
        <v>0</v>
      </c>
      <c r="K993" s="353"/>
    </row>
    <row r="994" spans="1:226" s="354" customFormat="1" ht="15" hidden="1" customHeight="1">
      <c r="A994" s="1547"/>
      <c r="B994" s="1548"/>
      <c r="C994" s="1572"/>
      <c r="D994" s="1566"/>
      <c r="E994" s="358"/>
      <c r="F994" s="359">
        <f>SUM(G994:J994)</f>
        <v>0</v>
      </c>
      <c r="G994" s="359"/>
      <c r="H994" s="359"/>
      <c r="I994" s="359"/>
      <c r="J994" s="360"/>
      <c r="K994" s="353"/>
    </row>
    <row r="995" spans="1:226" s="354" customFormat="1" ht="15" hidden="1" customHeight="1">
      <c r="A995" s="1547"/>
      <c r="B995" s="1548"/>
      <c r="C995" s="1572"/>
      <c r="D995" s="1566"/>
      <c r="E995" s="358"/>
      <c r="F995" s="359">
        <f>SUM(G995:J995)</f>
        <v>0</v>
      </c>
      <c r="G995" s="359"/>
      <c r="H995" s="359"/>
      <c r="I995" s="359"/>
      <c r="J995" s="360"/>
      <c r="K995" s="353"/>
    </row>
    <row r="996" spans="1:226" s="354" customFormat="1" ht="24.95" customHeight="1">
      <c r="A996" s="1547"/>
      <c r="B996" s="1548"/>
      <c r="C996" s="1572"/>
      <c r="D996" s="1567"/>
      <c r="E996" s="361" t="s">
        <v>318</v>
      </c>
      <c r="F996" s="356">
        <f>SUM(F997:F998)</f>
        <v>140000</v>
      </c>
      <c r="G996" s="356">
        <f>SUM(G997:G998)</f>
        <v>0</v>
      </c>
      <c r="H996" s="356">
        <f>SUM(H997:H998)</f>
        <v>0</v>
      </c>
      <c r="I996" s="356">
        <f>SUM(I997:I998)</f>
        <v>140000</v>
      </c>
      <c r="J996" s="357">
        <f>SUM(J997:J998)</f>
        <v>0</v>
      </c>
      <c r="K996" s="353"/>
    </row>
    <row r="997" spans="1:226" s="354" customFormat="1" ht="15" customHeight="1">
      <c r="A997" s="1547"/>
      <c r="B997" s="1548"/>
      <c r="C997" s="1572"/>
      <c r="D997" s="358" t="s">
        <v>234</v>
      </c>
      <c r="E997" s="358" t="s">
        <v>471</v>
      </c>
      <c r="F997" s="359">
        <f>SUM(G997:J997)</f>
        <v>20000</v>
      </c>
      <c r="G997" s="359"/>
      <c r="H997" s="359"/>
      <c r="I997" s="359">
        <v>20000</v>
      </c>
      <c r="J997" s="360"/>
      <c r="K997" s="353"/>
    </row>
    <row r="998" spans="1:226" s="354" customFormat="1" ht="15" customHeight="1" thickBot="1">
      <c r="A998" s="1556"/>
      <c r="B998" s="1559"/>
      <c r="C998" s="1565"/>
      <c r="D998" s="363" t="s">
        <v>503</v>
      </c>
      <c r="E998" s="363" t="s">
        <v>472</v>
      </c>
      <c r="F998" s="412">
        <f>SUM(G998:J998)</f>
        <v>120000</v>
      </c>
      <c r="G998" s="412"/>
      <c r="H998" s="412"/>
      <c r="I998" s="412">
        <v>120000</v>
      </c>
      <c r="J998" s="413"/>
      <c r="K998" s="353"/>
      <c r="L998" s="353"/>
      <c r="M998" s="353"/>
      <c r="N998" s="353"/>
      <c r="O998" s="353"/>
      <c r="P998" s="353"/>
      <c r="Q998" s="353"/>
      <c r="R998" s="353"/>
      <c r="S998" s="353"/>
      <c r="T998" s="353"/>
      <c r="U998" s="353"/>
      <c r="V998" s="353"/>
      <c r="W998" s="353"/>
      <c r="X998" s="353"/>
      <c r="Y998" s="353"/>
      <c r="Z998" s="353"/>
      <c r="AA998" s="353"/>
      <c r="AB998" s="353"/>
      <c r="AC998" s="353"/>
      <c r="AD998" s="353"/>
      <c r="AE998" s="353"/>
      <c r="AF998" s="353"/>
      <c r="AG998" s="353"/>
      <c r="AH998" s="353"/>
      <c r="AI998" s="353"/>
      <c r="AJ998" s="353"/>
      <c r="AK998" s="353"/>
      <c r="AL998" s="353"/>
      <c r="AM998" s="353"/>
      <c r="AN998" s="353"/>
      <c r="AO998" s="353"/>
      <c r="AP998" s="353"/>
      <c r="AQ998" s="353"/>
      <c r="AR998" s="353"/>
      <c r="AS998" s="353"/>
      <c r="AT998" s="353"/>
      <c r="AU998" s="353"/>
      <c r="AV998" s="353"/>
      <c r="AW998" s="353"/>
      <c r="AX998" s="353"/>
      <c r="AY998" s="353"/>
      <c r="AZ998" s="353"/>
      <c r="BA998" s="353"/>
      <c r="BB998" s="353"/>
      <c r="BC998" s="353"/>
      <c r="BD998" s="353"/>
      <c r="BE998" s="353"/>
      <c r="BF998" s="353"/>
      <c r="BG998" s="353"/>
      <c r="BH998" s="353"/>
      <c r="BI998" s="353"/>
      <c r="BJ998" s="353"/>
      <c r="BK998" s="353"/>
      <c r="BL998" s="353"/>
      <c r="BM998" s="353"/>
      <c r="BN998" s="353"/>
      <c r="BO998" s="353"/>
      <c r="BP998" s="353"/>
      <c r="BQ998" s="353"/>
      <c r="BR998" s="353"/>
      <c r="BS998" s="353"/>
      <c r="BT998" s="353"/>
      <c r="BU998" s="353"/>
      <c r="BV998" s="353"/>
      <c r="BW998" s="353"/>
      <c r="BX998" s="353"/>
      <c r="BY998" s="353"/>
      <c r="BZ998" s="353"/>
      <c r="CA998" s="353"/>
      <c r="CB998" s="353"/>
      <c r="CC998" s="353"/>
      <c r="CD998" s="353"/>
      <c r="CE998" s="353"/>
      <c r="CF998" s="353"/>
      <c r="CG998" s="353"/>
      <c r="CH998" s="353"/>
      <c r="CI998" s="353"/>
      <c r="CJ998" s="353"/>
      <c r="CK998" s="353"/>
      <c r="CL998" s="353"/>
      <c r="CM998" s="353"/>
      <c r="CN998" s="353"/>
      <c r="CO998" s="353"/>
      <c r="CP998" s="353"/>
      <c r="CQ998" s="353"/>
      <c r="CR998" s="353"/>
      <c r="CS998" s="353"/>
      <c r="CT998" s="353"/>
      <c r="CU998" s="353"/>
      <c r="CV998" s="353"/>
      <c r="CW998" s="353"/>
      <c r="CX998" s="353"/>
      <c r="CY998" s="353"/>
      <c r="CZ998" s="353"/>
      <c r="DA998" s="353"/>
      <c r="DB998" s="353"/>
      <c r="DC998" s="353"/>
      <c r="DD998" s="353"/>
      <c r="DE998" s="353"/>
      <c r="DF998" s="353"/>
      <c r="DG998" s="353"/>
      <c r="DH998" s="353"/>
      <c r="DI998" s="353"/>
      <c r="DJ998" s="353"/>
      <c r="DK998" s="353"/>
      <c r="DL998" s="353"/>
      <c r="DM998" s="353"/>
      <c r="DN998" s="353"/>
      <c r="DO998" s="353"/>
      <c r="DP998" s="353"/>
      <c r="DQ998" s="353"/>
      <c r="DR998" s="353"/>
      <c r="DS998" s="353"/>
      <c r="DT998" s="353"/>
      <c r="DU998" s="353"/>
      <c r="DV998" s="353"/>
      <c r="DW998" s="353"/>
      <c r="DX998" s="353"/>
      <c r="DY998" s="353"/>
      <c r="DZ998" s="353"/>
      <c r="EA998" s="353"/>
      <c r="EB998" s="353"/>
      <c r="EC998" s="353"/>
      <c r="ED998" s="353"/>
      <c r="EE998" s="353"/>
      <c r="EF998" s="353"/>
      <c r="EG998" s="353"/>
      <c r="EH998" s="353"/>
      <c r="EI998" s="353"/>
      <c r="EJ998" s="353"/>
      <c r="EK998" s="353"/>
      <c r="EL998" s="353"/>
      <c r="EM998" s="353"/>
      <c r="EN998" s="353"/>
      <c r="EO998" s="353"/>
      <c r="EP998" s="353"/>
      <c r="EQ998" s="353"/>
      <c r="ER998" s="353"/>
      <c r="ES998" s="353"/>
      <c r="ET998" s="353"/>
      <c r="EU998" s="353"/>
      <c r="EV998" s="353"/>
      <c r="EW998" s="353"/>
      <c r="EX998" s="353"/>
      <c r="EY998" s="353"/>
      <c r="EZ998" s="353"/>
      <c r="FA998" s="353"/>
      <c r="FB998" s="353"/>
      <c r="FC998" s="353"/>
      <c r="FD998" s="353"/>
      <c r="FE998" s="353"/>
      <c r="FF998" s="353"/>
      <c r="FG998" s="353"/>
      <c r="FH998" s="353"/>
      <c r="FI998" s="353"/>
      <c r="FJ998" s="353"/>
      <c r="FK998" s="353"/>
      <c r="FL998" s="353"/>
      <c r="FM998" s="353"/>
      <c r="FN998" s="353"/>
      <c r="FO998" s="353"/>
      <c r="FP998" s="353"/>
      <c r="FQ998" s="353"/>
      <c r="FR998" s="353"/>
      <c r="FS998" s="353"/>
      <c r="FT998" s="353"/>
      <c r="FU998" s="353"/>
      <c r="FV998" s="353"/>
      <c r="FW998" s="353"/>
      <c r="FX998" s="353"/>
      <c r="FY998" s="353"/>
      <c r="FZ998" s="353"/>
      <c r="GA998" s="353"/>
      <c r="GB998" s="353"/>
      <c r="GC998" s="353"/>
      <c r="GD998" s="353"/>
      <c r="GE998" s="353"/>
      <c r="GF998" s="353"/>
      <c r="GG998" s="353"/>
      <c r="GH998" s="353"/>
      <c r="GI998" s="353"/>
      <c r="GJ998" s="353"/>
      <c r="GK998" s="353"/>
      <c r="GL998" s="353"/>
      <c r="GM998" s="353"/>
      <c r="GN998" s="353"/>
      <c r="GO998" s="353"/>
      <c r="GP998" s="353"/>
      <c r="GQ998" s="353"/>
      <c r="GR998" s="353"/>
      <c r="GS998" s="353"/>
      <c r="GT998" s="353"/>
      <c r="GU998" s="353"/>
      <c r="GV998" s="353"/>
      <c r="GW998" s="353"/>
      <c r="GX998" s="353"/>
      <c r="GY998" s="353"/>
      <c r="GZ998" s="353"/>
      <c r="HA998" s="353"/>
      <c r="HB998" s="353"/>
      <c r="HC998" s="353"/>
      <c r="HD998" s="353"/>
      <c r="HE998" s="353"/>
      <c r="HF998" s="353"/>
      <c r="HG998" s="353"/>
      <c r="HH998" s="353"/>
      <c r="HI998" s="353"/>
      <c r="HJ998" s="353"/>
      <c r="HK998" s="353"/>
      <c r="HL998" s="353"/>
      <c r="HM998" s="353"/>
      <c r="HN998" s="353"/>
      <c r="HO998" s="353"/>
      <c r="HP998" s="353"/>
      <c r="HQ998" s="353"/>
      <c r="HR998" s="353"/>
    </row>
    <row r="999" spans="1:226" s="354" customFormat="1" ht="20.100000000000001" customHeight="1" thickBot="1">
      <c r="A999" s="346" t="s">
        <v>509</v>
      </c>
      <c r="B999" s="1543" t="s">
        <v>510</v>
      </c>
      <c r="C999" s="1543"/>
      <c r="D999" s="1543"/>
      <c r="E999" s="1543"/>
      <c r="F999" s="414">
        <f>F1001+F1009+F1024+F1053+F1065+F1107</f>
        <v>59894116</v>
      </c>
      <c r="G999" s="414">
        <f t="shared" ref="G999:J999" si="76">G1001+G1009+G1024+G1053+G1065+G1107</f>
        <v>5379749</v>
      </c>
      <c r="H999" s="414">
        <f t="shared" si="76"/>
        <v>1485864</v>
      </c>
      <c r="I999" s="414">
        <f t="shared" si="76"/>
        <v>53028503</v>
      </c>
      <c r="J999" s="415">
        <f t="shared" si="76"/>
        <v>0</v>
      </c>
      <c r="K999" s="353"/>
    </row>
    <row r="1000" spans="1:226" s="354" customFormat="1" ht="15.75" customHeight="1">
      <c r="A1000" s="1544"/>
      <c r="B1000" s="1545"/>
      <c r="C1000" s="1545"/>
      <c r="D1000" s="1545"/>
      <c r="E1000" s="1545"/>
      <c r="F1000" s="1545"/>
      <c r="G1000" s="1545"/>
      <c r="H1000" s="1545"/>
      <c r="I1000" s="1545"/>
      <c r="J1000" s="1546"/>
      <c r="K1000" s="353"/>
    </row>
    <row r="1001" spans="1:226" s="354" customFormat="1" ht="22.5">
      <c r="A1001" s="1547" t="s">
        <v>313</v>
      </c>
      <c r="B1001" s="1548" t="s">
        <v>511</v>
      </c>
      <c r="C1001" s="1549"/>
      <c r="D1001" s="1550"/>
      <c r="E1001" s="350" t="s">
        <v>315</v>
      </c>
      <c r="F1001" s="351">
        <f>SUM(F1002,F1006)</f>
        <v>821000</v>
      </c>
      <c r="G1001" s="351">
        <f>SUM(G1002,G1006)</f>
        <v>0</v>
      </c>
      <c r="H1001" s="351">
        <f>SUM(H1002,H1006)</f>
        <v>0</v>
      </c>
      <c r="I1001" s="351">
        <f>SUM(I1002,I1006)</f>
        <v>821000</v>
      </c>
      <c r="J1001" s="352">
        <f>SUM(J1002,J1006)</f>
        <v>0</v>
      </c>
      <c r="K1001" s="353"/>
    </row>
    <row r="1002" spans="1:226" s="354" customFormat="1" ht="20.25" customHeight="1">
      <c r="A1002" s="1547"/>
      <c r="B1002" s="1548"/>
      <c r="C1002" s="1553"/>
      <c r="D1002" s="1554"/>
      <c r="E1002" s="355" t="s">
        <v>316</v>
      </c>
      <c r="F1002" s="356">
        <f>SUM(F1003:F1005)</f>
        <v>821000</v>
      </c>
      <c r="G1002" s="356">
        <f>SUM(G1003:G1005)</f>
        <v>0</v>
      </c>
      <c r="H1002" s="356">
        <f>SUM(H1003:H1005)</f>
        <v>0</v>
      </c>
      <c r="I1002" s="356">
        <f>SUM(I1003:I1005)</f>
        <v>821000</v>
      </c>
      <c r="J1002" s="357">
        <f>SUM(J1003:J1005)</f>
        <v>0</v>
      </c>
      <c r="K1002" s="353"/>
    </row>
    <row r="1003" spans="1:226" s="354" customFormat="1" ht="15" customHeight="1">
      <c r="A1003" s="1547"/>
      <c r="B1003" s="1548"/>
      <c r="C1003" s="1562">
        <v>853</v>
      </c>
      <c r="D1003" s="1565" t="s">
        <v>512</v>
      </c>
      <c r="E1003" s="363" t="s">
        <v>317</v>
      </c>
      <c r="F1003" s="359">
        <f t="shared" ref="F1003:F1005" si="77">SUM(G1003:J1003)</f>
        <v>821000</v>
      </c>
      <c r="G1003" s="359"/>
      <c r="H1003" s="359"/>
      <c r="I1003" s="359">
        <v>821000</v>
      </c>
      <c r="J1003" s="360"/>
      <c r="K1003" s="353"/>
    </row>
    <row r="1004" spans="1:226" s="354" customFormat="1" ht="15" hidden="1" customHeight="1">
      <c r="A1004" s="1547"/>
      <c r="B1004" s="1548"/>
      <c r="C1004" s="1564"/>
      <c r="D1004" s="1567"/>
      <c r="E1004" s="363" t="s">
        <v>466</v>
      </c>
      <c r="F1004" s="359">
        <f t="shared" si="77"/>
        <v>0</v>
      </c>
      <c r="G1004" s="359"/>
      <c r="H1004" s="359"/>
      <c r="I1004" s="359">
        <f>4000-4000</f>
        <v>0</v>
      </c>
      <c r="J1004" s="360"/>
      <c r="K1004" s="353"/>
    </row>
    <row r="1005" spans="1:226" s="354" customFormat="1" ht="15" hidden="1" customHeight="1">
      <c r="A1005" s="1547"/>
      <c r="B1005" s="1548"/>
      <c r="C1005" s="422"/>
      <c r="D1005" s="358"/>
      <c r="E1005" s="363"/>
      <c r="F1005" s="359">
        <f t="shared" si="77"/>
        <v>0</v>
      </c>
      <c r="G1005" s="359"/>
      <c r="H1005" s="359"/>
      <c r="I1005" s="359"/>
      <c r="J1005" s="360"/>
      <c r="K1005" s="353"/>
    </row>
    <row r="1006" spans="1:226" s="354" customFormat="1" ht="19.5" customHeight="1">
      <c r="A1006" s="1547"/>
      <c r="B1006" s="1548"/>
      <c r="C1006" s="1592"/>
      <c r="D1006" s="1593"/>
      <c r="E1006" s="361" t="s">
        <v>318</v>
      </c>
      <c r="F1006" s="356">
        <f>SUM(F1007:F1008)</f>
        <v>0</v>
      </c>
      <c r="G1006" s="356">
        <f>SUM(G1007:G1008)</f>
        <v>0</v>
      </c>
      <c r="H1006" s="356">
        <f>SUM(H1007:H1008)</f>
        <v>0</v>
      </c>
      <c r="I1006" s="356">
        <f>SUM(I1007:I1008)</f>
        <v>0</v>
      </c>
      <c r="J1006" s="357">
        <f>SUM(J1007:J1008)</f>
        <v>0</v>
      </c>
      <c r="K1006" s="353"/>
    </row>
    <row r="1007" spans="1:226" s="354" customFormat="1" ht="15" hidden="1" customHeight="1">
      <c r="A1007" s="1547"/>
      <c r="B1007" s="1548"/>
      <c r="C1007" s="423"/>
      <c r="D1007" s="358"/>
      <c r="E1007" s="363"/>
      <c r="F1007" s="359">
        <f t="shared" ref="F1007:F1008" si="78">SUM(G1007:J1007)</f>
        <v>0</v>
      </c>
      <c r="G1007" s="359"/>
      <c r="H1007" s="359"/>
      <c r="I1007" s="359"/>
      <c r="J1007" s="360"/>
      <c r="K1007" s="353"/>
    </row>
    <row r="1008" spans="1:226" s="354" customFormat="1" ht="15" hidden="1" customHeight="1">
      <c r="A1008" s="1547"/>
      <c r="B1008" s="1548"/>
      <c r="C1008" s="362"/>
      <c r="D1008" s="358"/>
      <c r="E1008" s="363"/>
      <c r="F1008" s="359">
        <f t="shared" si="78"/>
        <v>0</v>
      </c>
      <c r="G1008" s="359"/>
      <c r="H1008" s="359"/>
      <c r="I1008" s="359"/>
      <c r="J1008" s="360"/>
      <c r="K1008" s="353"/>
    </row>
    <row r="1009" spans="1:226" s="354" customFormat="1" ht="22.5" customHeight="1">
      <c r="A1009" s="1556" t="s">
        <v>327</v>
      </c>
      <c r="B1009" s="1559" t="s">
        <v>513</v>
      </c>
      <c r="C1009" s="1549"/>
      <c r="D1009" s="1550"/>
      <c r="E1009" s="350" t="s">
        <v>315</v>
      </c>
      <c r="F1009" s="351">
        <f>SUM(F1010,F1021)</f>
        <v>35783664</v>
      </c>
      <c r="G1009" s="351">
        <f>SUM(G1010,G1021)</f>
        <v>0</v>
      </c>
      <c r="H1009" s="351">
        <f>SUM(H1010,H1021)</f>
        <v>0</v>
      </c>
      <c r="I1009" s="351">
        <f>SUM(I1010,I1021)</f>
        <v>35783664</v>
      </c>
      <c r="J1009" s="352">
        <f>SUM(J1010,J1021)</f>
        <v>0</v>
      </c>
      <c r="K1009" s="353"/>
    </row>
    <row r="1010" spans="1:226" s="354" customFormat="1" ht="16.5" customHeight="1">
      <c r="A1010" s="1557"/>
      <c r="B1010" s="1560"/>
      <c r="C1010" s="1553"/>
      <c r="D1010" s="1554"/>
      <c r="E1010" s="355" t="s">
        <v>316</v>
      </c>
      <c r="F1010" s="356">
        <f>SUM(F1011:F1020)</f>
        <v>35620664</v>
      </c>
      <c r="G1010" s="356">
        <f>SUM(G1011:G1020)</f>
        <v>0</v>
      </c>
      <c r="H1010" s="356">
        <f>SUM(H1011:H1020)</f>
        <v>0</v>
      </c>
      <c r="I1010" s="356">
        <f>SUM(I1011:I1020)</f>
        <v>35620664</v>
      </c>
      <c r="J1010" s="357">
        <f>SUM(J1011:J1020)</f>
        <v>0</v>
      </c>
      <c r="K1010" s="353"/>
    </row>
    <row r="1011" spans="1:226" s="354" customFormat="1" ht="15" customHeight="1">
      <c r="A1011" s="1557"/>
      <c r="B1011" s="1560"/>
      <c r="C1011" s="1562">
        <v>150</v>
      </c>
      <c r="D1011" s="1565" t="s">
        <v>319</v>
      </c>
      <c r="E1011" s="363" t="s">
        <v>317</v>
      </c>
      <c r="F1011" s="359">
        <f t="shared" ref="F1011:F1020" si="79">SUM(G1011:J1011)</f>
        <v>3960635</v>
      </c>
      <c r="G1011" s="359"/>
      <c r="H1011" s="359"/>
      <c r="I1011" s="359">
        <v>3960635</v>
      </c>
      <c r="J1011" s="360"/>
      <c r="K1011" s="353"/>
    </row>
    <row r="1012" spans="1:226" s="354" customFormat="1" ht="15" hidden="1" customHeight="1">
      <c r="A1012" s="1557"/>
      <c r="B1012" s="1560"/>
      <c r="C1012" s="1563"/>
      <c r="D1012" s="1567"/>
      <c r="E1012" s="363" t="s">
        <v>466</v>
      </c>
      <c r="F1012" s="359">
        <f t="shared" si="79"/>
        <v>0</v>
      </c>
      <c r="G1012" s="359"/>
      <c r="H1012" s="359"/>
      <c r="I1012" s="359">
        <v>0</v>
      </c>
      <c r="J1012" s="360"/>
      <c r="K1012" s="353"/>
    </row>
    <row r="1013" spans="1:226" s="354" customFormat="1" ht="15" customHeight="1">
      <c r="A1013" s="1557"/>
      <c r="B1013" s="1560"/>
      <c r="C1013" s="1570">
        <v>801</v>
      </c>
      <c r="D1013" s="1565" t="s">
        <v>514</v>
      </c>
      <c r="E1013" s="363" t="s">
        <v>317</v>
      </c>
      <c r="F1013" s="359">
        <f t="shared" si="79"/>
        <v>2275002</v>
      </c>
      <c r="G1013" s="359"/>
      <c r="H1013" s="359"/>
      <c r="I1013" s="359">
        <v>2275002</v>
      </c>
      <c r="J1013" s="360"/>
      <c r="K1013" s="353"/>
    </row>
    <row r="1014" spans="1:226" s="354" customFormat="1" ht="15" customHeight="1">
      <c r="A1014" s="1557"/>
      <c r="B1014" s="1560"/>
      <c r="C1014" s="1570"/>
      <c r="D1014" s="1566"/>
      <c r="E1014" s="363" t="s">
        <v>466</v>
      </c>
      <c r="F1014" s="359">
        <f t="shared" si="79"/>
        <v>4868597</v>
      </c>
      <c r="G1014" s="359"/>
      <c r="H1014" s="359"/>
      <c r="I1014" s="359">
        <v>4868597</v>
      </c>
      <c r="J1014" s="360"/>
      <c r="K1014" s="353"/>
    </row>
    <row r="1015" spans="1:226" s="354" customFormat="1" ht="15" customHeight="1">
      <c r="A1015" s="1557"/>
      <c r="B1015" s="1560"/>
      <c r="C1015" s="1562">
        <v>851</v>
      </c>
      <c r="D1015" s="1565" t="s">
        <v>259</v>
      </c>
      <c r="E1015" s="363" t="s">
        <v>317</v>
      </c>
      <c r="F1015" s="359">
        <f t="shared" si="79"/>
        <v>325000</v>
      </c>
      <c r="G1015" s="359"/>
      <c r="H1015" s="359"/>
      <c r="I1015" s="359">
        <v>325000</v>
      </c>
      <c r="J1015" s="360"/>
      <c r="K1015" s="353"/>
    </row>
    <row r="1016" spans="1:226" s="354" customFormat="1" ht="15" customHeight="1">
      <c r="A1016" s="1557"/>
      <c r="B1016" s="1560"/>
      <c r="C1016" s="1563"/>
      <c r="D1016" s="1567"/>
      <c r="E1016" s="363" t="s">
        <v>466</v>
      </c>
      <c r="F1016" s="359">
        <f t="shared" si="79"/>
        <v>325000</v>
      </c>
      <c r="G1016" s="359"/>
      <c r="H1016" s="359"/>
      <c r="I1016" s="359">
        <v>325000</v>
      </c>
      <c r="J1016" s="360"/>
      <c r="K1016" s="353"/>
    </row>
    <row r="1017" spans="1:226" s="354" customFormat="1" ht="15" customHeight="1">
      <c r="A1017" s="1557"/>
      <c r="B1017" s="1560"/>
      <c r="C1017" s="1570">
        <v>852</v>
      </c>
      <c r="D1017" s="1565" t="s">
        <v>515</v>
      </c>
      <c r="E1017" s="363" t="s">
        <v>317</v>
      </c>
      <c r="F1017" s="359">
        <f t="shared" si="79"/>
        <v>11270908</v>
      </c>
      <c r="G1017" s="359"/>
      <c r="H1017" s="359"/>
      <c r="I1017" s="359">
        <v>11270908</v>
      </c>
      <c r="J1017" s="360"/>
      <c r="K1017" s="353"/>
    </row>
    <row r="1018" spans="1:226" s="354" customFormat="1" ht="15" customHeight="1">
      <c r="A1018" s="1557"/>
      <c r="B1018" s="1560"/>
      <c r="C1018" s="1570"/>
      <c r="D1018" s="1567"/>
      <c r="E1018" s="363" t="s">
        <v>466</v>
      </c>
      <c r="F1018" s="359">
        <f t="shared" si="79"/>
        <v>4963939</v>
      </c>
      <c r="G1018" s="359"/>
      <c r="H1018" s="359"/>
      <c r="I1018" s="359">
        <v>4963939</v>
      </c>
      <c r="J1018" s="360"/>
      <c r="K1018" s="353"/>
    </row>
    <row r="1019" spans="1:226" s="354" customFormat="1" ht="15" customHeight="1">
      <c r="A1019" s="1557"/>
      <c r="B1019" s="1560"/>
      <c r="C1019" s="1562">
        <v>853</v>
      </c>
      <c r="D1019" s="1565" t="s">
        <v>512</v>
      </c>
      <c r="E1019" s="363" t="s">
        <v>317</v>
      </c>
      <c r="F1019" s="359">
        <f t="shared" si="79"/>
        <v>7364499</v>
      </c>
      <c r="G1019" s="359"/>
      <c r="H1019" s="359"/>
      <c r="I1019" s="359">
        <v>7364499</v>
      </c>
      <c r="J1019" s="360"/>
      <c r="K1019" s="353"/>
    </row>
    <row r="1020" spans="1:226" s="354" customFormat="1" ht="15" customHeight="1">
      <c r="A1020" s="1557"/>
      <c r="B1020" s="1560"/>
      <c r="C1020" s="1564"/>
      <c r="D1020" s="1567"/>
      <c r="E1020" s="363" t="s">
        <v>466</v>
      </c>
      <c r="F1020" s="359">
        <f t="shared" si="79"/>
        <v>267084</v>
      </c>
      <c r="G1020" s="359"/>
      <c r="H1020" s="359"/>
      <c r="I1020" s="359">
        <v>267084</v>
      </c>
      <c r="J1020" s="360"/>
      <c r="K1020" s="353"/>
    </row>
    <row r="1021" spans="1:226" s="354" customFormat="1" ht="19.5" customHeight="1">
      <c r="A1021" s="1557"/>
      <c r="B1021" s="1560"/>
      <c r="C1021" s="1592"/>
      <c r="D1021" s="1593"/>
      <c r="E1021" s="361" t="s">
        <v>318</v>
      </c>
      <c r="F1021" s="356">
        <f>SUM(F1022:F1023)</f>
        <v>163000</v>
      </c>
      <c r="G1021" s="356">
        <f>SUM(G1022:G1023)</f>
        <v>0</v>
      </c>
      <c r="H1021" s="356">
        <f>SUM(H1022:H1023)</f>
        <v>0</v>
      </c>
      <c r="I1021" s="356">
        <f>SUM(I1022:I1023)</f>
        <v>163000</v>
      </c>
      <c r="J1021" s="357">
        <f>SUM(J1022:J1023)</f>
        <v>0</v>
      </c>
      <c r="K1021" s="353"/>
    </row>
    <row r="1022" spans="1:226" s="354" customFormat="1" ht="15" customHeight="1">
      <c r="A1022" s="1557"/>
      <c r="B1022" s="1560"/>
      <c r="C1022" s="362">
        <v>801</v>
      </c>
      <c r="D1022" s="358" t="s">
        <v>514</v>
      </c>
      <c r="E1022" s="358" t="s">
        <v>326</v>
      </c>
      <c r="F1022" s="359">
        <f t="shared" ref="F1022:F1023" si="80">SUM(G1022:J1022)</f>
        <v>63000</v>
      </c>
      <c r="G1022" s="359"/>
      <c r="H1022" s="359"/>
      <c r="I1022" s="359">
        <v>63000</v>
      </c>
      <c r="J1022" s="360"/>
      <c r="K1022" s="353"/>
    </row>
    <row r="1023" spans="1:226" s="354" customFormat="1" ht="15" customHeight="1">
      <c r="A1023" s="1558"/>
      <c r="B1023" s="1561"/>
      <c r="C1023" s="424">
        <v>851</v>
      </c>
      <c r="D1023" s="401" t="s">
        <v>259</v>
      </c>
      <c r="E1023" s="401" t="s">
        <v>326</v>
      </c>
      <c r="F1023" s="402">
        <f t="shared" si="80"/>
        <v>100000</v>
      </c>
      <c r="G1023" s="402"/>
      <c r="H1023" s="402"/>
      <c r="I1023" s="402">
        <v>100000</v>
      </c>
      <c r="J1023" s="403"/>
      <c r="K1023" s="353"/>
    </row>
    <row r="1024" spans="1:226" s="354" customFormat="1" ht="24.95" customHeight="1">
      <c r="A1024" s="1547" t="s">
        <v>329</v>
      </c>
      <c r="B1024" s="1548" t="s">
        <v>516</v>
      </c>
      <c r="C1024" s="1570">
        <v>853</v>
      </c>
      <c r="D1024" s="1572" t="s">
        <v>512</v>
      </c>
      <c r="E1024" s="350" t="s">
        <v>315</v>
      </c>
      <c r="F1024" s="351">
        <f>SUM(F1025,F1050)</f>
        <v>119100</v>
      </c>
      <c r="G1024" s="351">
        <f>SUM(G1025,G1050)</f>
        <v>119100</v>
      </c>
      <c r="H1024" s="351">
        <f>SUM(H1025,H1050)</f>
        <v>0</v>
      </c>
      <c r="I1024" s="351">
        <f>SUM(I1025,I1050)</f>
        <v>0</v>
      </c>
      <c r="J1024" s="352">
        <f>SUM(J1025,J1050)</f>
        <v>0</v>
      </c>
      <c r="K1024" s="353"/>
      <c r="L1024" s="353"/>
      <c r="M1024" s="353"/>
      <c r="N1024" s="353"/>
      <c r="O1024" s="353"/>
      <c r="P1024" s="353"/>
      <c r="Q1024" s="353"/>
      <c r="R1024" s="353"/>
      <c r="S1024" s="353"/>
      <c r="T1024" s="353"/>
      <c r="U1024" s="353"/>
      <c r="V1024" s="353"/>
      <c r="W1024" s="353"/>
      <c r="X1024" s="353"/>
      <c r="Y1024" s="353"/>
      <c r="Z1024" s="353"/>
      <c r="AA1024" s="353"/>
      <c r="AB1024" s="353"/>
      <c r="AC1024" s="353"/>
      <c r="AD1024" s="353"/>
      <c r="AE1024" s="353"/>
      <c r="AF1024" s="353"/>
      <c r="AG1024" s="353"/>
      <c r="AH1024" s="353"/>
      <c r="AI1024" s="353"/>
      <c r="AJ1024" s="353"/>
      <c r="AK1024" s="353"/>
      <c r="AL1024" s="353"/>
      <c r="AM1024" s="353"/>
      <c r="AN1024" s="353"/>
      <c r="AO1024" s="353"/>
      <c r="AP1024" s="353"/>
      <c r="AQ1024" s="353"/>
      <c r="AR1024" s="353"/>
      <c r="AS1024" s="353"/>
      <c r="AT1024" s="353"/>
      <c r="AU1024" s="353"/>
      <c r="AV1024" s="353"/>
      <c r="AW1024" s="353"/>
      <c r="AX1024" s="353"/>
      <c r="AY1024" s="353"/>
      <c r="AZ1024" s="353"/>
      <c r="BA1024" s="353"/>
      <c r="BB1024" s="353"/>
      <c r="BC1024" s="353"/>
      <c r="BD1024" s="353"/>
      <c r="BE1024" s="353"/>
      <c r="BF1024" s="353"/>
      <c r="BG1024" s="353"/>
      <c r="BH1024" s="353"/>
      <c r="BI1024" s="353"/>
      <c r="BJ1024" s="353"/>
      <c r="BK1024" s="353"/>
      <c r="BL1024" s="353"/>
      <c r="BM1024" s="353"/>
      <c r="BN1024" s="353"/>
      <c r="BO1024" s="353"/>
      <c r="BP1024" s="353"/>
      <c r="BQ1024" s="353"/>
      <c r="BR1024" s="353"/>
      <c r="BS1024" s="353"/>
      <c r="BT1024" s="353"/>
      <c r="BU1024" s="353"/>
      <c r="BV1024" s="353"/>
      <c r="BW1024" s="353"/>
      <c r="BX1024" s="353"/>
      <c r="BY1024" s="353"/>
      <c r="BZ1024" s="353"/>
      <c r="CA1024" s="353"/>
      <c r="CB1024" s="353"/>
      <c r="CC1024" s="353"/>
      <c r="CD1024" s="353"/>
      <c r="CE1024" s="353"/>
      <c r="CF1024" s="353"/>
      <c r="CG1024" s="353"/>
      <c r="CH1024" s="353"/>
      <c r="CI1024" s="353"/>
      <c r="CJ1024" s="353"/>
      <c r="CK1024" s="353"/>
      <c r="CL1024" s="353"/>
      <c r="CM1024" s="353"/>
      <c r="CN1024" s="353"/>
      <c r="CO1024" s="353"/>
      <c r="CP1024" s="353"/>
      <c r="CQ1024" s="353"/>
      <c r="CR1024" s="353"/>
      <c r="CS1024" s="353"/>
      <c r="CT1024" s="353"/>
      <c r="CU1024" s="353"/>
      <c r="CV1024" s="353"/>
      <c r="CW1024" s="353"/>
      <c r="CX1024" s="353"/>
      <c r="CY1024" s="353"/>
      <c r="CZ1024" s="353"/>
      <c r="DA1024" s="353"/>
      <c r="DB1024" s="353"/>
      <c r="DC1024" s="353"/>
      <c r="DD1024" s="353"/>
      <c r="DE1024" s="353"/>
      <c r="DF1024" s="353"/>
      <c r="DG1024" s="353"/>
      <c r="DH1024" s="353"/>
      <c r="DI1024" s="353"/>
      <c r="DJ1024" s="353"/>
      <c r="DK1024" s="353"/>
      <c r="DL1024" s="353"/>
      <c r="DM1024" s="353"/>
      <c r="DN1024" s="353"/>
      <c r="DO1024" s="353"/>
      <c r="DP1024" s="353"/>
      <c r="DQ1024" s="353"/>
      <c r="DR1024" s="353"/>
      <c r="DS1024" s="353"/>
      <c r="DT1024" s="353"/>
      <c r="DU1024" s="353"/>
      <c r="DV1024" s="353"/>
      <c r="DW1024" s="353"/>
      <c r="DX1024" s="353"/>
      <c r="DY1024" s="353"/>
      <c r="DZ1024" s="353"/>
      <c r="EA1024" s="353"/>
      <c r="EB1024" s="353"/>
      <c r="EC1024" s="353"/>
      <c r="ED1024" s="353"/>
      <c r="EE1024" s="353"/>
      <c r="EF1024" s="353"/>
      <c r="EG1024" s="353"/>
      <c r="EH1024" s="353"/>
      <c r="EI1024" s="353"/>
      <c r="EJ1024" s="353"/>
      <c r="EK1024" s="353"/>
      <c r="EL1024" s="353"/>
      <c r="EM1024" s="353"/>
      <c r="EN1024" s="353"/>
      <c r="EO1024" s="353"/>
      <c r="EP1024" s="353"/>
      <c r="EQ1024" s="353"/>
      <c r="ER1024" s="353"/>
      <c r="ES1024" s="353"/>
      <c r="ET1024" s="353"/>
      <c r="EU1024" s="353"/>
      <c r="EV1024" s="353"/>
      <c r="EW1024" s="353"/>
      <c r="EX1024" s="353"/>
      <c r="EY1024" s="353"/>
      <c r="EZ1024" s="353"/>
      <c r="FA1024" s="353"/>
      <c r="FB1024" s="353"/>
      <c r="FC1024" s="353"/>
      <c r="FD1024" s="353"/>
      <c r="FE1024" s="353"/>
      <c r="FF1024" s="353"/>
      <c r="FG1024" s="353"/>
      <c r="FH1024" s="353"/>
      <c r="FI1024" s="353"/>
      <c r="FJ1024" s="353"/>
      <c r="FK1024" s="353"/>
      <c r="FL1024" s="353"/>
      <c r="FM1024" s="353"/>
      <c r="FN1024" s="353"/>
      <c r="FO1024" s="353"/>
      <c r="FP1024" s="353"/>
      <c r="FQ1024" s="353"/>
      <c r="FR1024" s="353"/>
      <c r="FS1024" s="353"/>
      <c r="FT1024" s="353"/>
      <c r="FU1024" s="353"/>
      <c r="FV1024" s="353"/>
      <c r="FW1024" s="353"/>
      <c r="FX1024" s="353"/>
      <c r="FY1024" s="353"/>
      <c r="FZ1024" s="353"/>
      <c r="GA1024" s="353"/>
      <c r="GB1024" s="353"/>
      <c r="GC1024" s="353"/>
      <c r="GD1024" s="353"/>
      <c r="GE1024" s="353"/>
      <c r="GF1024" s="353"/>
      <c r="GG1024" s="353"/>
      <c r="GH1024" s="353"/>
      <c r="GI1024" s="353"/>
      <c r="GJ1024" s="353"/>
      <c r="GK1024" s="353"/>
      <c r="GL1024" s="353"/>
      <c r="GM1024" s="353"/>
      <c r="GN1024" s="353"/>
      <c r="GO1024" s="353"/>
      <c r="GP1024" s="353"/>
      <c r="GQ1024" s="353"/>
      <c r="GR1024" s="353"/>
      <c r="GS1024" s="353"/>
      <c r="GT1024" s="353"/>
      <c r="GU1024" s="353"/>
      <c r="GV1024" s="353"/>
      <c r="GW1024" s="353"/>
      <c r="GX1024" s="353"/>
      <c r="GY1024" s="353"/>
      <c r="GZ1024" s="353"/>
      <c r="HA1024" s="353"/>
      <c r="HB1024" s="353"/>
      <c r="HC1024" s="353"/>
      <c r="HD1024" s="353"/>
      <c r="HE1024" s="353"/>
      <c r="HF1024" s="353"/>
      <c r="HG1024" s="353"/>
      <c r="HH1024" s="353"/>
      <c r="HI1024" s="353"/>
      <c r="HJ1024" s="353"/>
      <c r="HK1024" s="353"/>
      <c r="HL1024" s="353"/>
      <c r="HM1024" s="353"/>
      <c r="HN1024" s="353"/>
      <c r="HO1024" s="353"/>
      <c r="HP1024" s="353"/>
      <c r="HQ1024" s="353"/>
      <c r="HR1024" s="353"/>
    </row>
    <row r="1025" spans="1:11" s="354" customFormat="1" ht="24.95" customHeight="1">
      <c r="A1025" s="1547"/>
      <c r="B1025" s="1548"/>
      <c r="C1025" s="1570"/>
      <c r="D1025" s="1572"/>
      <c r="E1025" s="355" t="s">
        <v>332</v>
      </c>
      <c r="F1025" s="356">
        <f>SUM(F1026,F1030,F1037)</f>
        <v>119100</v>
      </c>
      <c r="G1025" s="356">
        <f>SUM(G1026,G1030,G1037)</f>
        <v>119100</v>
      </c>
      <c r="H1025" s="356">
        <f>SUM(H1026,H1030,H1037)</f>
        <v>0</v>
      </c>
      <c r="I1025" s="356">
        <f>SUM(I1026,I1030,I1037)</f>
        <v>0</v>
      </c>
      <c r="J1025" s="357">
        <f>SUM(J1026,J1030,J1037)</f>
        <v>0</v>
      </c>
      <c r="K1025" s="353"/>
    </row>
    <row r="1026" spans="1:11" s="354" customFormat="1" ht="24.95" hidden="1" customHeight="1">
      <c r="A1026" s="1547"/>
      <c r="B1026" s="1548"/>
      <c r="C1026" s="1570"/>
      <c r="D1026" s="1572"/>
      <c r="E1026" s="393" t="s">
        <v>389</v>
      </c>
      <c r="F1026" s="394">
        <f>SUM(F1027:F1029)</f>
        <v>0</v>
      </c>
      <c r="G1026" s="394">
        <f>SUM(G1027:G1029)</f>
        <v>0</v>
      </c>
      <c r="H1026" s="394">
        <f>SUM(H1027:H1029)</f>
        <v>0</v>
      </c>
      <c r="I1026" s="394">
        <f>SUM(I1027:I1029)</f>
        <v>0</v>
      </c>
      <c r="J1026" s="395">
        <f>SUM(J1027:J1029)</f>
        <v>0</v>
      </c>
      <c r="K1026" s="353"/>
    </row>
    <row r="1027" spans="1:11" s="354" customFormat="1" ht="15" hidden="1" customHeight="1">
      <c r="A1027" s="1547"/>
      <c r="B1027" s="1548"/>
      <c r="C1027" s="1570"/>
      <c r="D1027" s="1572"/>
      <c r="E1027" s="358"/>
      <c r="F1027" s="359">
        <f>SUM(G1027:J1027)</f>
        <v>0</v>
      </c>
      <c r="G1027" s="359"/>
      <c r="H1027" s="359"/>
      <c r="I1027" s="359"/>
      <c r="J1027" s="360"/>
      <c r="K1027" s="353"/>
    </row>
    <row r="1028" spans="1:11" s="354" customFormat="1" ht="15" hidden="1" customHeight="1">
      <c r="A1028" s="1547"/>
      <c r="B1028" s="1548"/>
      <c r="C1028" s="1570"/>
      <c r="D1028" s="1572"/>
      <c r="E1028" s="358"/>
      <c r="F1028" s="359">
        <f>SUM(G1028:J1028)</f>
        <v>0</v>
      </c>
      <c r="G1028" s="359"/>
      <c r="H1028" s="359"/>
      <c r="I1028" s="359"/>
      <c r="J1028" s="360"/>
      <c r="K1028" s="353"/>
    </row>
    <row r="1029" spans="1:11" s="354" customFormat="1" ht="15" hidden="1" customHeight="1">
      <c r="A1029" s="1547"/>
      <c r="B1029" s="1548"/>
      <c r="C1029" s="1570"/>
      <c r="D1029" s="1572"/>
      <c r="E1029" s="358"/>
      <c r="F1029" s="359">
        <f>SUM(G1029:J1029)</f>
        <v>0</v>
      </c>
      <c r="G1029" s="359"/>
      <c r="H1029" s="359"/>
      <c r="I1029" s="359"/>
      <c r="J1029" s="360"/>
      <c r="K1029" s="353"/>
    </row>
    <row r="1030" spans="1:11" s="354" customFormat="1" ht="24.95" customHeight="1">
      <c r="A1030" s="1547"/>
      <c r="B1030" s="1548"/>
      <c r="C1030" s="1570"/>
      <c r="D1030" s="1572"/>
      <c r="E1030" s="393" t="s">
        <v>333</v>
      </c>
      <c r="F1030" s="394">
        <f>SUM(F1031:F1036)</f>
        <v>31850</v>
      </c>
      <c r="G1030" s="394">
        <f>SUM(G1031:G1036)</f>
        <v>31850</v>
      </c>
      <c r="H1030" s="394">
        <f>SUM(H1031:H1036)</f>
        <v>0</v>
      </c>
      <c r="I1030" s="394">
        <f>SUM(I1031:I1036)</f>
        <v>0</v>
      </c>
      <c r="J1030" s="395">
        <f>SUM(J1031:J1036)</f>
        <v>0</v>
      </c>
      <c r="K1030" s="353"/>
    </row>
    <row r="1031" spans="1:11" s="354" customFormat="1" ht="15" customHeight="1">
      <c r="A1031" s="1547"/>
      <c r="B1031" s="1548"/>
      <c r="C1031" s="1570"/>
      <c r="D1031" s="1572"/>
      <c r="E1031" s="358" t="s">
        <v>362</v>
      </c>
      <c r="F1031" s="359">
        <f t="shared" ref="F1031:F1036" si="81">SUM(G1031:J1031)</f>
        <v>22646</v>
      </c>
      <c r="G1031" s="359">
        <v>22646</v>
      </c>
      <c r="H1031" s="359"/>
      <c r="I1031" s="359"/>
      <c r="J1031" s="360"/>
      <c r="K1031" s="353"/>
    </row>
    <row r="1032" spans="1:11" s="354" customFormat="1" ht="15" customHeight="1">
      <c r="A1032" s="1547"/>
      <c r="B1032" s="1548"/>
      <c r="C1032" s="1570"/>
      <c r="D1032" s="1572"/>
      <c r="E1032" s="358" t="s">
        <v>363</v>
      </c>
      <c r="F1032" s="359">
        <f t="shared" si="81"/>
        <v>3997</v>
      </c>
      <c r="G1032" s="359">
        <v>3997</v>
      </c>
      <c r="H1032" s="359"/>
      <c r="I1032" s="359"/>
      <c r="J1032" s="360"/>
      <c r="K1032" s="353"/>
    </row>
    <row r="1033" spans="1:11" s="354" customFormat="1" ht="15" customHeight="1">
      <c r="A1033" s="1547"/>
      <c r="B1033" s="1548"/>
      <c r="C1033" s="1570"/>
      <c r="D1033" s="1572"/>
      <c r="E1033" s="358" t="s">
        <v>334</v>
      </c>
      <c r="F1033" s="359">
        <f t="shared" si="81"/>
        <v>3872</v>
      </c>
      <c r="G1033" s="359">
        <v>3872</v>
      </c>
      <c r="H1033" s="359"/>
      <c r="I1033" s="359"/>
      <c r="J1033" s="360"/>
      <c r="K1033" s="353"/>
    </row>
    <row r="1034" spans="1:11" s="354" customFormat="1" ht="15" customHeight="1">
      <c r="A1034" s="1547"/>
      <c r="B1034" s="1548"/>
      <c r="C1034" s="1570"/>
      <c r="D1034" s="1572"/>
      <c r="E1034" s="358" t="s">
        <v>335</v>
      </c>
      <c r="F1034" s="359">
        <f t="shared" si="81"/>
        <v>683</v>
      </c>
      <c r="G1034" s="359">
        <v>683</v>
      </c>
      <c r="H1034" s="359"/>
      <c r="I1034" s="359"/>
      <c r="J1034" s="360"/>
      <c r="K1034" s="353"/>
    </row>
    <row r="1035" spans="1:11" s="354" customFormat="1" ht="15" customHeight="1">
      <c r="A1035" s="1547"/>
      <c r="B1035" s="1548"/>
      <c r="C1035" s="1570"/>
      <c r="D1035" s="1572"/>
      <c r="E1035" s="358" t="s">
        <v>366</v>
      </c>
      <c r="F1035" s="359">
        <f t="shared" si="81"/>
        <v>554</v>
      </c>
      <c r="G1035" s="359">
        <v>554</v>
      </c>
      <c r="H1035" s="359"/>
      <c r="I1035" s="359"/>
      <c r="J1035" s="360"/>
      <c r="K1035" s="353"/>
    </row>
    <row r="1036" spans="1:11" s="354" customFormat="1" ht="15" customHeight="1">
      <c r="A1036" s="1547"/>
      <c r="B1036" s="1548"/>
      <c r="C1036" s="1570"/>
      <c r="D1036" s="1572"/>
      <c r="E1036" s="358" t="s">
        <v>367</v>
      </c>
      <c r="F1036" s="359">
        <f t="shared" si="81"/>
        <v>98</v>
      </c>
      <c r="G1036" s="359">
        <v>98</v>
      </c>
      <c r="H1036" s="359"/>
      <c r="I1036" s="359"/>
      <c r="J1036" s="360"/>
      <c r="K1036" s="353"/>
    </row>
    <row r="1037" spans="1:11" s="354" customFormat="1" ht="24.95" customHeight="1">
      <c r="A1037" s="1547"/>
      <c r="B1037" s="1548"/>
      <c r="C1037" s="1570"/>
      <c r="D1037" s="1572"/>
      <c r="E1037" s="393" t="s">
        <v>338</v>
      </c>
      <c r="F1037" s="394">
        <f>SUM(F1038:F1049)</f>
        <v>87250</v>
      </c>
      <c r="G1037" s="394">
        <f>SUM(G1038:G1049)</f>
        <v>87250</v>
      </c>
      <c r="H1037" s="394">
        <f>SUM(H1038:H1049)</f>
        <v>0</v>
      </c>
      <c r="I1037" s="394">
        <f>SUM(I1038:I1049)</f>
        <v>0</v>
      </c>
      <c r="J1037" s="395">
        <f>SUM(J1038:J1049)</f>
        <v>0</v>
      </c>
      <c r="K1037" s="353"/>
    </row>
    <row r="1038" spans="1:11" s="354" customFormat="1" ht="15" customHeight="1">
      <c r="A1038" s="1547"/>
      <c r="B1038" s="1548"/>
      <c r="C1038" s="1570"/>
      <c r="D1038" s="1572"/>
      <c r="E1038" s="358" t="s">
        <v>339</v>
      </c>
      <c r="F1038" s="359">
        <f t="shared" ref="F1038:F1049" si="82">SUM(G1038:J1038)</f>
        <v>5482</v>
      </c>
      <c r="G1038" s="359">
        <v>5482</v>
      </c>
      <c r="H1038" s="359"/>
      <c r="I1038" s="359"/>
      <c r="J1038" s="360"/>
      <c r="K1038" s="353"/>
    </row>
    <row r="1039" spans="1:11" s="354" customFormat="1" ht="15" customHeight="1">
      <c r="A1039" s="1547"/>
      <c r="B1039" s="1548"/>
      <c r="C1039" s="1570"/>
      <c r="D1039" s="1572"/>
      <c r="E1039" s="358" t="s">
        <v>340</v>
      </c>
      <c r="F1039" s="359">
        <f t="shared" si="82"/>
        <v>968</v>
      </c>
      <c r="G1039" s="359">
        <v>968</v>
      </c>
      <c r="H1039" s="359"/>
      <c r="I1039" s="359"/>
      <c r="J1039" s="360"/>
      <c r="K1039" s="353"/>
    </row>
    <row r="1040" spans="1:11" s="354" customFormat="1" ht="15" customHeight="1">
      <c r="A1040" s="1547"/>
      <c r="B1040" s="1548"/>
      <c r="C1040" s="1570"/>
      <c r="D1040" s="1572"/>
      <c r="E1040" s="358" t="s">
        <v>341</v>
      </c>
      <c r="F1040" s="359">
        <f t="shared" si="82"/>
        <v>66020</v>
      </c>
      <c r="G1040" s="359">
        <v>66020</v>
      </c>
      <c r="H1040" s="359"/>
      <c r="I1040" s="359"/>
      <c r="J1040" s="360"/>
      <c r="K1040" s="353"/>
    </row>
    <row r="1041" spans="1:11" s="354" customFormat="1" ht="15" customHeight="1">
      <c r="A1041" s="1547"/>
      <c r="B1041" s="1548"/>
      <c r="C1041" s="1570"/>
      <c r="D1041" s="1572"/>
      <c r="E1041" s="358" t="s">
        <v>342</v>
      </c>
      <c r="F1041" s="359">
        <f t="shared" si="82"/>
        <v>11650</v>
      </c>
      <c r="G1041" s="359">
        <v>11650</v>
      </c>
      <c r="H1041" s="359"/>
      <c r="I1041" s="359"/>
      <c r="J1041" s="360"/>
      <c r="K1041" s="353"/>
    </row>
    <row r="1042" spans="1:11" s="354" customFormat="1" ht="15" customHeight="1">
      <c r="A1042" s="1547"/>
      <c r="B1042" s="1548"/>
      <c r="C1042" s="1570"/>
      <c r="D1042" s="1572"/>
      <c r="E1042" s="358" t="s">
        <v>459</v>
      </c>
      <c r="F1042" s="359">
        <f t="shared" si="82"/>
        <v>553</v>
      </c>
      <c r="G1042" s="359">
        <v>553</v>
      </c>
      <c r="H1042" s="359"/>
      <c r="I1042" s="359"/>
      <c r="J1042" s="360"/>
      <c r="K1042" s="353"/>
    </row>
    <row r="1043" spans="1:11" s="354" customFormat="1" ht="15" customHeight="1">
      <c r="A1043" s="1547"/>
      <c r="B1043" s="1548"/>
      <c r="C1043" s="1570"/>
      <c r="D1043" s="1572"/>
      <c r="E1043" s="358" t="s">
        <v>433</v>
      </c>
      <c r="F1043" s="359">
        <f t="shared" si="82"/>
        <v>97</v>
      </c>
      <c r="G1043" s="359">
        <v>97</v>
      </c>
      <c r="H1043" s="359"/>
      <c r="I1043" s="359"/>
      <c r="J1043" s="360"/>
      <c r="K1043" s="353"/>
    </row>
    <row r="1044" spans="1:11" s="354" customFormat="1" ht="15" customHeight="1">
      <c r="A1044" s="1547"/>
      <c r="B1044" s="1548"/>
      <c r="C1044" s="1570"/>
      <c r="D1044" s="1572"/>
      <c r="E1044" s="358" t="s">
        <v>343</v>
      </c>
      <c r="F1044" s="359">
        <f t="shared" si="82"/>
        <v>1088</v>
      </c>
      <c r="G1044" s="359">
        <v>1088</v>
      </c>
      <c r="H1044" s="359"/>
      <c r="I1044" s="359"/>
      <c r="J1044" s="360"/>
      <c r="K1044" s="353"/>
    </row>
    <row r="1045" spans="1:11" s="354" customFormat="1" ht="15" customHeight="1">
      <c r="A1045" s="1547"/>
      <c r="B1045" s="1548"/>
      <c r="C1045" s="1570"/>
      <c r="D1045" s="1572"/>
      <c r="E1045" s="358" t="s">
        <v>344</v>
      </c>
      <c r="F1045" s="359">
        <f t="shared" si="82"/>
        <v>192</v>
      </c>
      <c r="G1045" s="359">
        <v>192</v>
      </c>
      <c r="H1045" s="359"/>
      <c r="I1045" s="359"/>
      <c r="J1045" s="360"/>
      <c r="K1045" s="353"/>
    </row>
    <row r="1046" spans="1:11" s="354" customFormat="1" ht="15" customHeight="1">
      <c r="A1046" s="1547"/>
      <c r="B1046" s="1548"/>
      <c r="C1046" s="1570"/>
      <c r="D1046" s="1572"/>
      <c r="E1046" s="358" t="s">
        <v>345</v>
      </c>
      <c r="F1046" s="359">
        <f t="shared" si="82"/>
        <v>510</v>
      </c>
      <c r="G1046" s="359">
        <v>510</v>
      </c>
      <c r="H1046" s="359"/>
      <c r="I1046" s="359"/>
      <c r="J1046" s="360"/>
      <c r="K1046" s="353"/>
    </row>
    <row r="1047" spans="1:11" s="354" customFormat="1" ht="15" customHeight="1">
      <c r="A1047" s="1547"/>
      <c r="B1047" s="1548"/>
      <c r="C1047" s="1570"/>
      <c r="D1047" s="1572"/>
      <c r="E1047" s="358" t="s">
        <v>346</v>
      </c>
      <c r="F1047" s="359">
        <f t="shared" si="82"/>
        <v>90</v>
      </c>
      <c r="G1047" s="359">
        <v>90</v>
      </c>
      <c r="H1047" s="359"/>
      <c r="I1047" s="359"/>
      <c r="J1047" s="360"/>
      <c r="K1047" s="353"/>
    </row>
    <row r="1048" spans="1:11" s="354" customFormat="1" ht="15" customHeight="1">
      <c r="A1048" s="1547"/>
      <c r="B1048" s="1548"/>
      <c r="C1048" s="1570"/>
      <c r="D1048" s="1572"/>
      <c r="E1048" s="358" t="s">
        <v>347</v>
      </c>
      <c r="F1048" s="359">
        <f t="shared" si="82"/>
        <v>510</v>
      </c>
      <c r="G1048" s="359">
        <v>510</v>
      </c>
      <c r="H1048" s="359"/>
      <c r="I1048" s="359"/>
      <c r="J1048" s="360"/>
      <c r="K1048" s="353"/>
    </row>
    <row r="1049" spans="1:11" s="354" customFormat="1" ht="15" customHeight="1">
      <c r="A1049" s="1547"/>
      <c r="B1049" s="1548"/>
      <c r="C1049" s="1570"/>
      <c r="D1049" s="1572"/>
      <c r="E1049" s="358" t="s">
        <v>348</v>
      </c>
      <c r="F1049" s="359">
        <f t="shared" si="82"/>
        <v>90</v>
      </c>
      <c r="G1049" s="359">
        <v>90</v>
      </c>
      <c r="H1049" s="359"/>
      <c r="I1049" s="359"/>
      <c r="J1049" s="360"/>
      <c r="K1049" s="353"/>
    </row>
    <row r="1050" spans="1:11" s="354" customFormat="1" ht="24.95" customHeight="1">
      <c r="A1050" s="1547"/>
      <c r="B1050" s="1548"/>
      <c r="C1050" s="1570"/>
      <c r="D1050" s="1572"/>
      <c r="E1050" s="361" t="s">
        <v>318</v>
      </c>
      <c r="F1050" s="356">
        <f>SUM(F1051:F1052)</f>
        <v>0</v>
      </c>
      <c r="G1050" s="356">
        <f>SUM(G1051:G1052)</f>
        <v>0</v>
      </c>
      <c r="H1050" s="356">
        <f>SUM(H1051:H1052)</f>
        <v>0</v>
      </c>
      <c r="I1050" s="356">
        <f>SUM(I1051:I1052)</f>
        <v>0</v>
      </c>
      <c r="J1050" s="357">
        <f>SUM(J1051:J1052)</f>
        <v>0</v>
      </c>
      <c r="K1050" s="353"/>
    </row>
    <row r="1051" spans="1:11" s="354" customFormat="1" ht="15" hidden="1" customHeight="1">
      <c r="A1051" s="1547"/>
      <c r="B1051" s="1548"/>
      <c r="C1051" s="1570"/>
      <c r="D1051" s="1572"/>
      <c r="E1051" s="358"/>
      <c r="F1051" s="359">
        <f>SUM(G1051:J1051)</f>
        <v>0</v>
      </c>
      <c r="G1051" s="359"/>
      <c r="H1051" s="359"/>
      <c r="I1051" s="359"/>
      <c r="J1051" s="360"/>
      <c r="K1051" s="353"/>
    </row>
    <row r="1052" spans="1:11" s="354" customFormat="1" ht="15" hidden="1" customHeight="1">
      <c r="A1052" s="1547"/>
      <c r="B1052" s="1548"/>
      <c r="C1052" s="1570"/>
      <c r="D1052" s="1572"/>
      <c r="E1052" s="396"/>
      <c r="F1052" s="359">
        <f>SUM(G1052:J1052)</f>
        <v>0</v>
      </c>
      <c r="G1052" s="359"/>
      <c r="H1052" s="359"/>
      <c r="I1052" s="359"/>
      <c r="J1052" s="360"/>
      <c r="K1052" s="353"/>
    </row>
    <row r="1053" spans="1:11" s="354" customFormat="1" ht="24.95" customHeight="1">
      <c r="A1053" s="1556" t="s">
        <v>352</v>
      </c>
      <c r="B1053" s="1559" t="s">
        <v>1110</v>
      </c>
      <c r="C1053" s="1562">
        <v>853</v>
      </c>
      <c r="D1053" s="1565" t="s">
        <v>261</v>
      </c>
      <c r="E1053" s="350" t="s">
        <v>315</v>
      </c>
      <c r="F1053" s="351">
        <f>SUM(F1054,F1061)</f>
        <v>3809309</v>
      </c>
      <c r="G1053" s="351">
        <f>SUM(G1054,G1061)</f>
        <v>2323445</v>
      </c>
      <c r="H1053" s="351">
        <f>SUM(H1054,H1061)</f>
        <v>1485864</v>
      </c>
      <c r="I1053" s="351">
        <f>SUM(I1054,I1061)</f>
        <v>0</v>
      </c>
      <c r="J1053" s="352">
        <f>SUM(J1054,J1061)</f>
        <v>0</v>
      </c>
      <c r="K1053" s="353"/>
    </row>
    <row r="1054" spans="1:11" s="354" customFormat="1" ht="24.95" customHeight="1">
      <c r="A1054" s="1557"/>
      <c r="B1054" s="1560"/>
      <c r="C1054" s="1563"/>
      <c r="D1054" s="1566"/>
      <c r="E1054" s="355" t="s">
        <v>316</v>
      </c>
      <c r="F1054" s="356">
        <f>SUM(F1055,F1058)</f>
        <v>0</v>
      </c>
      <c r="G1054" s="356">
        <f>SUM(G1055,G1058)</f>
        <v>0</v>
      </c>
      <c r="H1054" s="356">
        <f>SUM(H1055,H1058)</f>
        <v>0</v>
      </c>
      <c r="I1054" s="356">
        <f>SUM(I1055,I1058)</f>
        <v>0</v>
      </c>
      <c r="J1054" s="357">
        <f>SUM(J1055,J1058)</f>
        <v>0</v>
      </c>
      <c r="K1054" s="353"/>
    </row>
    <row r="1055" spans="1:11" s="354" customFormat="1" ht="24.95" hidden="1" customHeight="1">
      <c r="A1055" s="1557"/>
      <c r="B1055" s="1560"/>
      <c r="C1055" s="1563"/>
      <c r="D1055" s="1566"/>
      <c r="E1055" s="393" t="s">
        <v>333</v>
      </c>
      <c r="F1055" s="394">
        <f>SUM(F1056:F1057)</f>
        <v>0</v>
      </c>
      <c r="G1055" s="394">
        <f>SUM(G1056:G1057)</f>
        <v>0</v>
      </c>
      <c r="H1055" s="394">
        <f>SUM(H1056:H1057)</f>
        <v>0</v>
      </c>
      <c r="I1055" s="394">
        <f>SUM(I1056:I1057)</f>
        <v>0</v>
      </c>
      <c r="J1055" s="395">
        <f>SUM(J1056:J1057)</f>
        <v>0</v>
      </c>
      <c r="K1055" s="353"/>
    </row>
    <row r="1056" spans="1:11" s="354" customFormat="1" ht="15" hidden="1" customHeight="1">
      <c r="A1056" s="1557"/>
      <c r="B1056" s="1560"/>
      <c r="C1056" s="1563"/>
      <c r="D1056" s="1566"/>
      <c r="E1056" s="358"/>
      <c r="F1056" s="359">
        <f>SUM(G1056:J1056)</f>
        <v>0</v>
      </c>
      <c r="G1056" s="359"/>
      <c r="H1056" s="359"/>
      <c r="I1056" s="359"/>
      <c r="J1056" s="360"/>
      <c r="K1056" s="353"/>
    </row>
    <row r="1057" spans="1:226" s="354" customFormat="1" ht="15" hidden="1" customHeight="1">
      <c r="A1057" s="1557"/>
      <c r="B1057" s="1560"/>
      <c r="C1057" s="1563"/>
      <c r="D1057" s="1566"/>
      <c r="E1057" s="358"/>
      <c r="F1057" s="359">
        <f>SUM(G1057:J1057)</f>
        <v>0</v>
      </c>
      <c r="G1057" s="359"/>
      <c r="H1057" s="359"/>
      <c r="I1057" s="359"/>
      <c r="J1057" s="360"/>
      <c r="K1057" s="353"/>
    </row>
    <row r="1058" spans="1:226" s="354" customFormat="1" ht="24.95" hidden="1" customHeight="1">
      <c r="A1058" s="1557"/>
      <c r="B1058" s="1560"/>
      <c r="C1058" s="1563"/>
      <c r="D1058" s="1566"/>
      <c r="E1058" s="393" t="s">
        <v>338</v>
      </c>
      <c r="F1058" s="394">
        <f>SUM(F1059:F1060)</f>
        <v>0</v>
      </c>
      <c r="G1058" s="394">
        <f>SUM(G1059:G1060)</f>
        <v>0</v>
      </c>
      <c r="H1058" s="394">
        <f>SUM(H1059:H1060)</f>
        <v>0</v>
      </c>
      <c r="I1058" s="394">
        <f>SUM(I1059:I1060)</f>
        <v>0</v>
      </c>
      <c r="J1058" s="395">
        <f>SUM(J1059:J1060)</f>
        <v>0</v>
      </c>
      <c r="K1058" s="353"/>
    </row>
    <row r="1059" spans="1:226" s="354" customFormat="1" ht="15" hidden="1" customHeight="1">
      <c r="A1059" s="1557"/>
      <c r="B1059" s="1560"/>
      <c r="C1059" s="1563"/>
      <c r="D1059" s="1566"/>
      <c r="E1059" s="358"/>
      <c r="F1059" s="359">
        <f>SUM(G1059:J1059)</f>
        <v>0</v>
      </c>
      <c r="G1059" s="359"/>
      <c r="H1059" s="359"/>
      <c r="I1059" s="359"/>
      <c r="J1059" s="360"/>
      <c r="K1059" s="353"/>
    </row>
    <row r="1060" spans="1:226" s="354" customFormat="1" ht="15" hidden="1" customHeight="1">
      <c r="A1060" s="1557"/>
      <c r="B1060" s="1560"/>
      <c r="C1060" s="1563"/>
      <c r="D1060" s="1566"/>
      <c r="E1060" s="358"/>
      <c r="F1060" s="359">
        <f>SUM(G1060:J1060)</f>
        <v>0</v>
      </c>
      <c r="G1060" s="359"/>
      <c r="H1060" s="359"/>
      <c r="I1060" s="359"/>
      <c r="J1060" s="360"/>
      <c r="K1060" s="353"/>
    </row>
    <row r="1061" spans="1:226" s="354" customFormat="1" ht="24.95" customHeight="1">
      <c r="A1061" s="1557"/>
      <c r="B1061" s="1560"/>
      <c r="C1061" s="1563"/>
      <c r="D1061" s="1566"/>
      <c r="E1061" s="361" t="s">
        <v>318</v>
      </c>
      <c r="F1061" s="356">
        <f>SUM(F1062:F1064)</f>
        <v>3809309</v>
      </c>
      <c r="G1061" s="356">
        <f t="shared" ref="G1061:J1061" si="83">SUM(G1062:G1064)</f>
        <v>2323445</v>
      </c>
      <c r="H1061" s="356">
        <f t="shared" si="83"/>
        <v>1485864</v>
      </c>
      <c r="I1061" s="356">
        <f t="shared" si="83"/>
        <v>0</v>
      </c>
      <c r="J1061" s="357">
        <f t="shared" si="83"/>
        <v>0</v>
      </c>
      <c r="K1061" s="353"/>
    </row>
    <row r="1062" spans="1:226" s="354" customFormat="1" ht="15" customHeight="1">
      <c r="A1062" s="1557"/>
      <c r="B1062" s="1560"/>
      <c r="C1062" s="1563"/>
      <c r="D1062" s="1566"/>
      <c r="E1062" s="358" t="s">
        <v>471</v>
      </c>
      <c r="F1062" s="359">
        <f>SUM(G1062:J1062)</f>
        <v>2061234</v>
      </c>
      <c r="G1062" s="359">
        <v>2061234</v>
      </c>
      <c r="H1062" s="359"/>
      <c r="I1062" s="359"/>
      <c r="J1062" s="360"/>
      <c r="K1062" s="353"/>
    </row>
    <row r="1063" spans="1:226" s="354" customFormat="1" ht="15" customHeight="1">
      <c r="A1063" s="1557"/>
      <c r="B1063" s="1560"/>
      <c r="C1063" s="1563"/>
      <c r="D1063" s="1566"/>
      <c r="E1063" s="363" t="s">
        <v>414</v>
      </c>
      <c r="F1063" s="359">
        <f>SUM(G1063:J1063)</f>
        <v>1485864</v>
      </c>
      <c r="G1063" s="412"/>
      <c r="H1063" s="412">
        <v>1485864</v>
      </c>
      <c r="I1063" s="412"/>
      <c r="J1063" s="413"/>
      <c r="K1063" s="353"/>
    </row>
    <row r="1064" spans="1:226" s="354" customFormat="1" ht="15" customHeight="1">
      <c r="A1064" s="1558"/>
      <c r="B1064" s="1561"/>
      <c r="C1064" s="1564"/>
      <c r="D1064" s="1567"/>
      <c r="E1064" s="358" t="s">
        <v>472</v>
      </c>
      <c r="F1064" s="359">
        <f>SUM(G1064:J1064)</f>
        <v>262211</v>
      </c>
      <c r="G1064" s="359">
        <v>262211</v>
      </c>
      <c r="H1064" s="359"/>
      <c r="I1064" s="359"/>
      <c r="J1064" s="360"/>
      <c r="K1064" s="353"/>
    </row>
    <row r="1065" spans="1:226" s="354" customFormat="1" ht="22.5" customHeight="1">
      <c r="A1065" s="1556" t="s">
        <v>356</v>
      </c>
      <c r="B1065" s="1559" t="s">
        <v>517</v>
      </c>
      <c r="C1065" s="1562">
        <v>853</v>
      </c>
      <c r="D1065" s="1565" t="s">
        <v>261</v>
      </c>
      <c r="E1065" s="350" t="s">
        <v>315</v>
      </c>
      <c r="F1065" s="351">
        <f>SUM(F1066,F1104)</f>
        <v>4589790</v>
      </c>
      <c r="G1065" s="351">
        <f>SUM(G1066,G1104)</f>
        <v>721515</v>
      </c>
      <c r="H1065" s="351">
        <f>SUM(H1066,H1104)</f>
        <v>0</v>
      </c>
      <c r="I1065" s="351">
        <f>SUM(I1066,I1104)</f>
        <v>3868275</v>
      </c>
      <c r="J1065" s="352">
        <f>SUM(J1066,J1104)</f>
        <v>0</v>
      </c>
      <c r="K1065" s="353"/>
    </row>
    <row r="1066" spans="1:226" s="354" customFormat="1" ht="21">
      <c r="A1066" s="1557"/>
      <c r="B1066" s="1560"/>
      <c r="C1066" s="1563"/>
      <c r="D1066" s="1566"/>
      <c r="E1066" s="355" t="s">
        <v>332</v>
      </c>
      <c r="F1066" s="356">
        <f>SUM(F1067,F1070,F1081)</f>
        <v>4589790</v>
      </c>
      <c r="G1066" s="356">
        <f>SUM(G1067,G1070,G1081)</f>
        <v>721515</v>
      </c>
      <c r="H1066" s="356">
        <f>SUM(H1067,H1070,H1081)</f>
        <v>0</v>
      </c>
      <c r="I1066" s="356">
        <f>SUM(I1067,I1070,I1081)</f>
        <v>3868275</v>
      </c>
      <c r="J1066" s="357">
        <f>SUM(J1067,J1070,J1081)</f>
        <v>0</v>
      </c>
      <c r="K1066" s="353"/>
      <c r="L1066" s="353"/>
      <c r="M1066" s="353"/>
      <c r="N1066" s="353"/>
      <c r="O1066" s="353"/>
      <c r="P1066" s="353"/>
      <c r="Q1066" s="353"/>
      <c r="R1066" s="353"/>
      <c r="S1066" s="353"/>
      <c r="T1066" s="353"/>
      <c r="U1066" s="353"/>
      <c r="V1066" s="353"/>
      <c r="W1066" s="353"/>
      <c r="X1066" s="353"/>
      <c r="Y1066" s="353"/>
      <c r="Z1066" s="353"/>
      <c r="AA1066" s="353"/>
      <c r="AB1066" s="353"/>
      <c r="AC1066" s="353"/>
      <c r="AD1066" s="353"/>
      <c r="AE1066" s="353"/>
      <c r="AF1066" s="353"/>
      <c r="AG1066" s="353"/>
      <c r="AH1066" s="353"/>
      <c r="AI1066" s="353"/>
      <c r="AJ1066" s="353"/>
      <c r="AK1066" s="353"/>
      <c r="AL1066" s="353"/>
      <c r="AM1066" s="353"/>
      <c r="AN1066" s="353"/>
      <c r="AO1066" s="353"/>
      <c r="AP1066" s="353"/>
      <c r="AQ1066" s="353"/>
      <c r="AR1066" s="353"/>
      <c r="AS1066" s="353"/>
      <c r="AT1066" s="353"/>
      <c r="AU1066" s="353"/>
      <c r="AV1066" s="353"/>
      <c r="AW1066" s="353"/>
      <c r="AX1066" s="353"/>
      <c r="AY1066" s="353"/>
      <c r="AZ1066" s="353"/>
      <c r="BA1066" s="353"/>
      <c r="BB1066" s="353"/>
      <c r="BC1066" s="353"/>
      <c r="BD1066" s="353"/>
      <c r="BE1066" s="353"/>
      <c r="BF1066" s="353"/>
      <c r="BG1066" s="353"/>
      <c r="BH1066" s="353"/>
      <c r="BI1066" s="353"/>
      <c r="BJ1066" s="353"/>
      <c r="BK1066" s="353"/>
      <c r="BL1066" s="353"/>
      <c r="BM1066" s="353"/>
      <c r="BN1066" s="353"/>
      <c r="BO1066" s="353"/>
      <c r="BP1066" s="353"/>
      <c r="BQ1066" s="353"/>
      <c r="BR1066" s="353"/>
      <c r="BS1066" s="353"/>
      <c r="BT1066" s="353"/>
      <c r="BU1066" s="353"/>
      <c r="BV1066" s="353"/>
      <c r="BW1066" s="353"/>
      <c r="BX1066" s="353"/>
      <c r="BY1066" s="353"/>
      <c r="BZ1066" s="353"/>
      <c r="CA1066" s="353"/>
      <c r="CB1066" s="353"/>
      <c r="CC1066" s="353"/>
      <c r="CD1066" s="353"/>
      <c r="CE1066" s="353"/>
      <c r="CF1066" s="353"/>
      <c r="CG1066" s="353"/>
      <c r="CH1066" s="353"/>
      <c r="CI1066" s="353"/>
      <c r="CJ1066" s="353"/>
      <c r="CK1066" s="353"/>
      <c r="CL1066" s="353"/>
      <c r="CM1066" s="353"/>
      <c r="CN1066" s="353"/>
      <c r="CO1066" s="353"/>
      <c r="CP1066" s="353"/>
      <c r="CQ1066" s="353"/>
      <c r="CR1066" s="353"/>
      <c r="CS1066" s="353"/>
      <c r="CT1066" s="353"/>
      <c r="CU1066" s="353"/>
      <c r="CV1066" s="353"/>
      <c r="CW1066" s="353"/>
      <c r="CX1066" s="353"/>
      <c r="CY1066" s="353"/>
      <c r="CZ1066" s="353"/>
      <c r="DA1066" s="353"/>
      <c r="DB1066" s="353"/>
      <c r="DC1066" s="353"/>
      <c r="DD1066" s="353"/>
      <c r="DE1066" s="353"/>
      <c r="DF1066" s="353"/>
      <c r="DG1066" s="353"/>
      <c r="DH1066" s="353"/>
      <c r="DI1066" s="353"/>
      <c r="DJ1066" s="353"/>
      <c r="DK1066" s="353"/>
      <c r="DL1066" s="353"/>
      <c r="DM1066" s="353"/>
      <c r="DN1066" s="353"/>
      <c r="DO1066" s="353"/>
      <c r="DP1066" s="353"/>
      <c r="DQ1066" s="353"/>
      <c r="DR1066" s="353"/>
      <c r="DS1066" s="353"/>
      <c r="DT1066" s="353"/>
      <c r="DU1066" s="353"/>
      <c r="DV1066" s="353"/>
      <c r="DW1066" s="353"/>
      <c r="DX1066" s="353"/>
      <c r="DY1066" s="353"/>
      <c r="DZ1066" s="353"/>
      <c r="EA1066" s="353"/>
      <c r="EB1066" s="353"/>
      <c r="EC1066" s="353"/>
      <c r="ED1066" s="353"/>
      <c r="EE1066" s="353"/>
      <c r="EF1066" s="353"/>
      <c r="EG1066" s="353"/>
      <c r="EH1066" s="353"/>
      <c r="EI1066" s="353"/>
      <c r="EJ1066" s="353"/>
      <c r="EK1066" s="353"/>
      <c r="EL1066" s="353"/>
      <c r="EM1066" s="353"/>
      <c r="EN1066" s="353"/>
      <c r="EO1066" s="353"/>
      <c r="EP1066" s="353"/>
      <c r="EQ1066" s="353"/>
      <c r="ER1066" s="353"/>
      <c r="ES1066" s="353"/>
      <c r="ET1066" s="353"/>
      <c r="EU1066" s="353"/>
      <c r="EV1066" s="353"/>
      <c r="EW1066" s="353"/>
      <c r="EX1066" s="353"/>
      <c r="EY1066" s="353"/>
      <c r="EZ1066" s="353"/>
      <c r="FA1066" s="353"/>
      <c r="FB1066" s="353"/>
      <c r="FC1066" s="353"/>
      <c r="FD1066" s="353"/>
      <c r="FE1066" s="353"/>
      <c r="FF1066" s="353"/>
      <c r="FG1066" s="353"/>
      <c r="FH1066" s="353"/>
      <c r="FI1066" s="353"/>
      <c r="FJ1066" s="353"/>
      <c r="FK1066" s="353"/>
      <c r="FL1066" s="353"/>
      <c r="FM1066" s="353"/>
      <c r="FN1066" s="353"/>
      <c r="FO1066" s="353"/>
      <c r="FP1066" s="353"/>
      <c r="FQ1066" s="353"/>
      <c r="FR1066" s="353"/>
      <c r="FS1066" s="353"/>
      <c r="FT1066" s="353"/>
      <c r="FU1066" s="353"/>
      <c r="FV1066" s="353"/>
      <c r="FW1066" s="353"/>
      <c r="FX1066" s="353"/>
      <c r="FY1066" s="353"/>
      <c r="FZ1066" s="353"/>
      <c r="GA1066" s="353"/>
      <c r="GB1066" s="353"/>
      <c r="GC1066" s="353"/>
      <c r="GD1066" s="353"/>
      <c r="GE1066" s="353"/>
      <c r="GF1066" s="353"/>
      <c r="GG1066" s="353"/>
      <c r="GH1066" s="353"/>
      <c r="GI1066" s="353"/>
      <c r="GJ1066" s="353"/>
      <c r="GK1066" s="353"/>
      <c r="GL1066" s="353"/>
      <c r="GM1066" s="353"/>
      <c r="GN1066" s="353"/>
      <c r="GO1066" s="353"/>
      <c r="GP1066" s="353"/>
      <c r="GQ1066" s="353"/>
      <c r="GR1066" s="353"/>
      <c r="GS1066" s="353"/>
      <c r="GT1066" s="353"/>
      <c r="GU1066" s="353"/>
      <c r="GV1066" s="353"/>
      <c r="GW1066" s="353"/>
      <c r="GX1066" s="353"/>
      <c r="GY1066" s="353"/>
      <c r="GZ1066" s="353"/>
      <c r="HA1066" s="353"/>
      <c r="HB1066" s="353"/>
      <c r="HC1066" s="353"/>
      <c r="HD1066" s="353"/>
      <c r="HE1066" s="353"/>
      <c r="HF1066" s="353"/>
      <c r="HG1066" s="353"/>
      <c r="HH1066" s="353"/>
      <c r="HI1066" s="353"/>
      <c r="HJ1066" s="353"/>
      <c r="HK1066" s="353"/>
      <c r="HL1066" s="353"/>
      <c r="HM1066" s="353"/>
      <c r="HN1066" s="353"/>
      <c r="HO1066" s="353"/>
      <c r="HP1066" s="353"/>
      <c r="HQ1066" s="353"/>
      <c r="HR1066" s="353"/>
    </row>
    <row r="1067" spans="1:226" s="354" customFormat="1" ht="24.95" hidden="1" customHeight="1">
      <c r="A1067" s="1557"/>
      <c r="B1067" s="1560"/>
      <c r="C1067" s="1563"/>
      <c r="D1067" s="1566"/>
      <c r="E1067" s="393" t="s">
        <v>389</v>
      </c>
      <c r="F1067" s="394">
        <f>SUM(F1068:F1069)</f>
        <v>0</v>
      </c>
      <c r="G1067" s="394">
        <f>SUM(G1068:G1069)</f>
        <v>0</v>
      </c>
      <c r="H1067" s="394">
        <f>SUM(H1068:H1069)</f>
        <v>0</v>
      </c>
      <c r="I1067" s="394">
        <f>SUM(I1068:I1069)</f>
        <v>0</v>
      </c>
      <c r="J1067" s="395">
        <f>SUM(J1068:J1069)</f>
        <v>0</v>
      </c>
      <c r="K1067" s="353"/>
    </row>
    <row r="1068" spans="1:226" s="354" customFormat="1" ht="15" hidden="1" customHeight="1">
      <c r="A1068" s="1557"/>
      <c r="B1068" s="1560"/>
      <c r="C1068" s="1563"/>
      <c r="D1068" s="1566"/>
      <c r="E1068" s="358"/>
      <c r="F1068" s="359">
        <f>SUM(G1068:J1068)</f>
        <v>0</v>
      </c>
      <c r="G1068" s="359"/>
      <c r="H1068" s="359"/>
      <c r="I1068" s="359"/>
      <c r="J1068" s="360"/>
      <c r="K1068" s="353"/>
    </row>
    <row r="1069" spans="1:226" s="354" customFormat="1" ht="15" hidden="1" customHeight="1">
      <c r="A1069" s="1557"/>
      <c r="B1069" s="1560"/>
      <c r="C1069" s="1563"/>
      <c r="D1069" s="1566"/>
      <c r="E1069" s="358"/>
      <c r="F1069" s="359">
        <f>SUM(G1069:J1069)</f>
        <v>0</v>
      </c>
      <c r="G1069" s="359"/>
      <c r="H1069" s="359"/>
      <c r="I1069" s="359"/>
      <c r="J1069" s="360"/>
      <c r="K1069" s="353"/>
    </row>
    <row r="1070" spans="1:226" s="354" customFormat="1" ht="22.5">
      <c r="A1070" s="1557"/>
      <c r="B1070" s="1560"/>
      <c r="C1070" s="1563"/>
      <c r="D1070" s="1566"/>
      <c r="E1070" s="393" t="s">
        <v>333</v>
      </c>
      <c r="F1070" s="394">
        <f>SUM(F1071:F1080)</f>
        <v>3684142</v>
      </c>
      <c r="G1070" s="394">
        <f>SUM(G1071:G1080)</f>
        <v>579146</v>
      </c>
      <c r="H1070" s="394">
        <f>SUM(H1071:H1080)</f>
        <v>0</v>
      </c>
      <c r="I1070" s="394">
        <f>SUM(I1071:I1080)</f>
        <v>3104996</v>
      </c>
      <c r="J1070" s="395">
        <f>SUM(J1071:J1080)</f>
        <v>0</v>
      </c>
      <c r="K1070" s="353"/>
    </row>
    <row r="1071" spans="1:226" s="354" customFormat="1" ht="12.95" customHeight="1">
      <c r="A1071" s="1557"/>
      <c r="B1071" s="1560"/>
      <c r="C1071" s="1563"/>
      <c r="D1071" s="1566"/>
      <c r="E1071" s="358" t="s">
        <v>362</v>
      </c>
      <c r="F1071" s="359">
        <f t="shared" ref="F1071:F1080" si="84">SUM(G1071:J1071)</f>
        <v>2405876</v>
      </c>
      <c r="G1071" s="359"/>
      <c r="H1071" s="359"/>
      <c r="I1071" s="359">
        <v>2405876</v>
      </c>
      <c r="J1071" s="360"/>
      <c r="K1071" s="353"/>
    </row>
    <row r="1072" spans="1:226" s="354" customFormat="1" ht="12.95" customHeight="1">
      <c r="A1072" s="1557"/>
      <c r="B1072" s="1560"/>
      <c r="C1072" s="1563"/>
      <c r="D1072" s="1566"/>
      <c r="E1072" s="358" t="s">
        <v>363</v>
      </c>
      <c r="F1072" s="359">
        <f t="shared" si="84"/>
        <v>448747</v>
      </c>
      <c r="G1072" s="359">
        <v>448747</v>
      </c>
      <c r="H1072" s="359"/>
      <c r="I1072" s="359"/>
      <c r="J1072" s="360"/>
      <c r="K1072" s="353"/>
    </row>
    <row r="1073" spans="1:11" s="354" customFormat="1" ht="12.95" customHeight="1">
      <c r="A1073" s="1557"/>
      <c r="B1073" s="1560"/>
      <c r="C1073" s="1563"/>
      <c r="D1073" s="1566"/>
      <c r="E1073" s="358" t="s">
        <v>364</v>
      </c>
      <c r="F1073" s="359">
        <f t="shared" si="84"/>
        <v>166403</v>
      </c>
      <c r="G1073" s="359"/>
      <c r="H1073" s="359"/>
      <c r="I1073" s="359">
        <v>166403</v>
      </c>
      <c r="J1073" s="360"/>
      <c r="K1073" s="353"/>
    </row>
    <row r="1074" spans="1:11" s="354" customFormat="1" ht="12.95" customHeight="1">
      <c r="A1074" s="1557"/>
      <c r="B1074" s="1560"/>
      <c r="C1074" s="1563"/>
      <c r="D1074" s="1566"/>
      <c r="E1074" s="358" t="s">
        <v>365</v>
      </c>
      <c r="F1074" s="359">
        <f t="shared" si="84"/>
        <v>31037</v>
      </c>
      <c r="G1074" s="359">
        <v>31037</v>
      </c>
      <c r="H1074" s="359"/>
      <c r="I1074" s="359"/>
      <c r="J1074" s="360"/>
      <c r="K1074" s="353"/>
    </row>
    <row r="1075" spans="1:11" s="354" customFormat="1" ht="12.95" customHeight="1">
      <c r="A1075" s="1557"/>
      <c r="B1075" s="1560"/>
      <c r="C1075" s="1563"/>
      <c r="D1075" s="1566"/>
      <c r="E1075" s="358" t="s">
        <v>334</v>
      </c>
      <c r="F1075" s="359">
        <f t="shared" si="84"/>
        <v>439860</v>
      </c>
      <c r="G1075" s="359"/>
      <c r="H1075" s="359"/>
      <c r="I1075" s="359">
        <v>439860</v>
      </c>
      <c r="J1075" s="360"/>
      <c r="K1075" s="353"/>
    </row>
    <row r="1076" spans="1:11" s="354" customFormat="1" ht="12.95" customHeight="1">
      <c r="A1076" s="1557"/>
      <c r="B1076" s="1560"/>
      <c r="C1076" s="1563"/>
      <c r="D1076" s="1566"/>
      <c r="E1076" s="358" t="s">
        <v>335</v>
      </c>
      <c r="F1076" s="359">
        <f t="shared" si="84"/>
        <v>82043</v>
      </c>
      <c r="G1076" s="359">
        <v>82043</v>
      </c>
      <c r="H1076" s="359"/>
      <c r="I1076" s="359"/>
      <c r="J1076" s="360"/>
      <c r="K1076" s="353"/>
    </row>
    <row r="1077" spans="1:11" s="354" customFormat="1" ht="12.95" customHeight="1">
      <c r="A1077" s="1557"/>
      <c r="B1077" s="1560"/>
      <c r="C1077" s="1563"/>
      <c r="D1077" s="1566"/>
      <c r="E1077" s="358" t="s">
        <v>366</v>
      </c>
      <c r="F1077" s="359">
        <f t="shared" si="84"/>
        <v>63022</v>
      </c>
      <c r="G1077" s="359"/>
      <c r="H1077" s="359"/>
      <c r="I1077" s="359">
        <v>63022</v>
      </c>
      <c r="J1077" s="360"/>
      <c r="K1077" s="353"/>
    </row>
    <row r="1078" spans="1:11" s="354" customFormat="1" ht="12.95" customHeight="1">
      <c r="A1078" s="1557"/>
      <c r="B1078" s="1560"/>
      <c r="C1078" s="1563"/>
      <c r="D1078" s="1566"/>
      <c r="E1078" s="358" t="s">
        <v>367</v>
      </c>
      <c r="F1078" s="359">
        <f t="shared" si="84"/>
        <v>11754</v>
      </c>
      <c r="G1078" s="359">
        <v>11754</v>
      </c>
      <c r="H1078" s="359"/>
      <c r="I1078" s="359"/>
      <c r="J1078" s="360"/>
      <c r="K1078" s="353"/>
    </row>
    <row r="1079" spans="1:11" s="354" customFormat="1" ht="12.95" customHeight="1">
      <c r="A1079" s="1557"/>
      <c r="B1079" s="1560"/>
      <c r="C1079" s="1563"/>
      <c r="D1079" s="1566"/>
      <c r="E1079" s="358" t="s">
        <v>336</v>
      </c>
      <c r="F1079" s="359">
        <f t="shared" si="84"/>
        <v>29835</v>
      </c>
      <c r="G1079" s="359"/>
      <c r="H1079" s="359"/>
      <c r="I1079" s="359">
        <v>29835</v>
      </c>
      <c r="J1079" s="360"/>
      <c r="K1079" s="353"/>
    </row>
    <row r="1080" spans="1:11" s="354" customFormat="1" ht="12.95" customHeight="1">
      <c r="A1080" s="1557"/>
      <c r="B1080" s="1560"/>
      <c r="C1080" s="1563"/>
      <c r="D1080" s="1566"/>
      <c r="E1080" s="358" t="s">
        <v>337</v>
      </c>
      <c r="F1080" s="359">
        <f t="shared" si="84"/>
        <v>5565</v>
      </c>
      <c r="G1080" s="359">
        <v>5565</v>
      </c>
      <c r="H1080" s="359"/>
      <c r="I1080" s="359"/>
      <c r="J1080" s="360"/>
      <c r="K1080" s="353"/>
    </row>
    <row r="1081" spans="1:11" s="354" customFormat="1" ht="19.5" customHeight="1">
      <c r="A1081" s="1557"/>
      <c r="B1081" s="1560"/>
      <c r="C1081" s="1563"/>
      <c r="D1081" s="1566"/>
      <c r="E1081" s="393" t="s">
        <v>338</v>
      </c>
      <c r="F1081" s="394">
        <f>SUM(F1082:F1103)</f>
        <v>905648</v>
      </c>
      <c r="G1081" s="394">
        <f>SUM(G1082:G1103)</f>
        <v>142369</v>
      </c>
      <c r="H1081" s="394">
        <f>SUM(H1082:H1103)</f>
        <v>0</v>
      </c>
      <c r="I1081" s="394">
        <f>SUM(I1082:I1103)</f>
        <v>763279</v>
      </c>
      <c r="J1081" s="395">
        <f>SUM(J1082:J1103)</f>
        <v>0</v>
      </c>
      <c r="K1081" s="353"/>
    </row>
    <row r="1082" spans="1:11" s="354" customFormat="1" ht="12.95" customHeight="1">
      <c r="A1082" s="1557"/>
      <c r="B1082" s="1560"/>
      <c r="C1082" s="1563"/>
      <c r="D1082" s="1566"/>
      <c r="E1082" s="358" t="s">
        <v>370</v>
      </c>
      <c r="F1082" s="359">
        <f t="shared" ref="F1082:F1103" si="85">SUM(G1082:J1082)</f>
        <v>4214</v>
      </c>
      <c r="G1082" s="359"/>
      <c r="H1082" s="359"/>
      <c r="I1082" s="359">
        <v>4214</v>
      </c>
      <c r="J1082" s="360"/>
      <c r="K1082" s="353"/>
    </row>
    <row r="1083" spans="1:11" s="354" customFormat="1" ht="12.95" customHeight="1">
      <c r="A1083" s="1557"/>
      <c r="B1083" s="1560"/>
      <c r="C1083" s="1563"/>
      <c r="D1083" s="1566"/>
      <c r="E1083" s="358" t="s">
        <v>371</v>
      </c>
      <c r="F1083" s="359">
        <f t="shared" si="85"/>
        <v>786</v>
      </c>
      <c r="G1083" s="359">
        <v>786</v>
      </c>
      <c r="H1083" s="359"/>
      <c r="I1083" s="359"/>
      <c r="J1083" s="360"/>
      <c r="K1083" s="353"/>
    </row>
    <row r="1084" spans="1:11" s="354" customFormat="1" ht="12.95" customHeight="1">
      <c r="A1084" s="1557"/>
      <c r="B1084" s="1560"/>
      <c r="C1084" s="1563"/>
      <c r="D1084" s="1566"/>
      <c r="E1084" s="358" t="s">
        <v>339</v>
      </c>
      <c r="F1084" s="359">
        <f t="shared" si="85"/>
        <v>117823</v>
      </c>
      <c r="G1084" s="359"/>
      <c r="H1084" s="359"/>
      <c r="I1084" s="359">
        <v>117823</v>
      </c>
      <c r="J1084" s="360"/>
      <c r="K1084" s="353"/>
    </row>
    <row r="1085" spans="1:11" s="354" customFormat="1" ht="12.95" customHeight="1">
      <c r="A1085" s="1557"/>
      <c r="B1085" s="1560"/>
      <c r="C1085" s="1563"/>
      <c r="D1085" s="1566"/>
      <c r="E1085" s="358" t="s">
        <v>340</v>
      </c>
      <c r="F1085" s="359">
        <f t="shared" si="85"/>
        <v>21977</v>
      </c>
      <c r="G1085" s="359">
        <v>21977</v>
      </c>
      <c r="H1085" s="359"/>
      <c r="I1085" s="359"/>
      <c r="J1085" s="360"/>
      <c r="K1085" s="353"/>
    </row>
    <row r="1086" spans="1:11" s="354" customFormat="1" ht="12.95" customHeight="1">
      <c r="A1086" s="1557"/>
      <c r="B1086" s="1560"/>
      <c r="C1086" s="1563"/>
      <c r="D1086" s="1566"/>
      <c r="E1086" s="358" t="s">
        <v>372</v>
      </c>
      <c r="F1086" s="359">
        <f t="shared" si="85"/>
        <v>80268</v>
      </c>
      <c r="G1086" s="359"/>
      <c r="H1086" s="359"/>
      <c r="I1086" s="359">
        <v>80268</v>
      </c>
      <c r="J1086" s="360"/>
      <c r="K1086" s="353"/>
    </row>
    <row r="1087" spans="1:11" s="354" customFormat="1" ht="12.95" customHeight="1">
      <c r="A1087" s="1557"/>
      <c r="B1087" s="1560"/>
      <c r="C1087" s="1563"/>
      <c r="D1087" s="1566"/>
      <c r="E1087" s="358" t="s">
        <v>373</v>
      </c>
      <c r="F1087" s="359">
        <f t="shared" si="85"/>
        <v>14972</v>
      </c>
      <c r="G1087" s="359">
        <v>14972</v>
      </c>
      <c r="H1087" s="359"/>
      <c r="I1087" s="359"/>
      <c r="J1087" s="360"/>
      <c r="K1087" s="353"/>
    </row>
    <row r="1088" spans="1:11" s="354" customFormat="1" ht="12.95" customHeight="1">
      <c r="A1088" s="1557"/>
      <c r="B1088" s="1560"/>
      <c r="C1088" s="1563"/>
      <c r="D1088" s="1566"/>
      <c r="E1088" s="358" t="s">
        <v>374</v>
      </c>
      <c r="F1088" s="359">
        <f t="shared" si="85"/>
        <v>1536</v>
      </c>
      <c r="G1088" s="359"/>
      <c r="H1088" s="359"/>
      <c r="I1088" s="359">
        <v>1536</v>
      </c>
      <c r="J1088" s="360"/>
      <c r="K1088" s="353"/>
    </row>
    <row r="1089" spans="1:226" s="354" customFormat="1" ht="12.95" customHeight="1">
      <c r="A1089" s="1557"/>
      <c r="B1089" s="1560"/>
      <c r="C1089" s="1563"/>
      <c r="D1089" s="1566"/>
      <c r="E1089" s="358" t="s">
        <v>375</v>
      </c>
      <c r="F1089" s="359">
        <f t="shared" si="85"/>
        <v>286</v>
      </c>
      <c r="G1089" s="359">
        <v>286</v>
      </c>
      <c r="H1089" s="359"/>
      <c r="I1089" s="359"/>
      <c r="J1089" s="360"/>
      <c r="K1089" s="353"/>
    </row>
    <row r="1090" spans="1:226" s="354" customFormat="1" ht="12.95" customHeight="1">
      <c r="A1090" s="1557"/>
      <c r="B1090" s="1560"/>
      <c r="C1090" s="1563"/>
      <c r="D1090" s="1566"/>
      <c r="E1090" s="358" t="s">
        <v>341</v>
      </c>
      <c r="F1090" s="359">
        <f t="shared" si="85"/>
        <v>124237</v>
      </c>
      <c r="G1090" s="359"/>
      <c r="H1090" s="359"/>
      <c r="I1090" s="359">
        <v>124237</v>
      </c>
      <c r="J1090" s="360"/>
      <c r="K1090" s="353"/>
    </row>
    <row r="1091" spans="1:226" s="354" customFormat="1" ht="12.95" customHeight="1">
      <c r="A1091" s="1557"/>
      <c r="B1091" s="1560"/>
      <c r="C1091" s="1563"/>
      <c r="D1091" s="1566"/>
      <c r="E1091" s="358" t="s">
        <v>342</v>
      </c>
      <c r="F1091" s="359">
        <f t="shared" si="85"/>
        <v>23173</v>
      </c>
      <c r="G1091" s="359">
        <v>23173</v>
      </c>
      <c r="H1091" s="359"/>
      <c r="I1091" s="359"/>
      <c r="J1091" s="360"/>
      <c r="K1091" s="353"/>
    </row>
    <row r="1092" spans="1:226" s="354" customFormat="1" ht="12.95" customHeight="1">
      <c r="A1092" s="1557"/>
      <c r="B1092" s="1560"/>
      <c r="C1092" s="1563"/>
      <c r="D1092" s="1566"/>
      <c r="E1092" s="358" t="s">
        <v>459</v>
      </c>
      <c r="F1092" s="359">
        <f t="shared" si="85"/>
        <v>5478</v>
      </c>
      <c r="G1092" s="359"/>
      <c r="H1092" s="359"/>
      <c r="I1092" s="359">
        <v>5478</v>
      </c>
      <c r="J1092" s="360"/>
      <c r="K1092" s="353"/>
    </row>
    <row r="1093" spans="1:226" s="354" customFormat="1" ht="12.95" customHeight="1">
      <c r="A1093" s="1557"/>
      <c r="B1093" s="1560"/>
      <c r="C1093" s="1563"/>
      <c r="D1093" s="1566"/>
      <c r="E1093" s="358" t="s">
        <v>433</v>
      </c>
      <c r="F1093" s="359">
        <f t="shared" si="85"/>
        <v>1022</v>
      </c>
      <c r="G1093" s="359">
        <v>1022</v>
      </c>
      <c r="H1093" s="359"/>
      <c r="I1093" s="359"/>
      <c r="J1093" s="360"/>
      <c r="K1093" s="353"/>
    </row>
    <row r="1094" spans="1:226" s="349" customFormat="1" ht="12.95" customHeight="1">
      <c r="A1094" s="1557"/>
      <c r="B1094" s="1560"/>
      <c r="C1094" s="1563"/>
      <c r="D1094" s="1566"/>
      <c r="E1094" s="358" t="s">
        <v>354</v>
      </c>
      <c r="F1094" s="359">
        <f t="shared" si="85"/>
        <v>139062</v>
      </c>
      <c r="G1094" s="359"/>
      <c r="H1094" s="359"/>
      <c r="I1094" s="359">
        <v>139062</v>
      </c>
      <c r="J1094" s="360"/>
    </row>
    <row r="1095" spans="1:226" s="345" customFormat="1" ht="12.95" customHeight="1">
      <c r="A1095" s="1557"/>
      <c r="B1095" s="1560"/>
      <c r="C1095" s="1563"/>
      <c r="D1095" s="1566"/>
      <c r="E1095" s="358" t="s">
        <v>355</v>
      </c>
      <c r="F1095" s="359">
        <f t="shared" si="85"/>
        <v>25938</v>
      </c>
      <c r="G1095" s="359">
        <v>25938</v>
      </c>
      <c r="H1095" s="359"/>
      <c r="I1095" s="359"/>
      <c r="J1095" s="360"/>
    </row>
    <row r="1096" spans="1:226" s="354" customFormat="1" ht="12.95" customHeight="1">
      <c r="A1096" s="1557"/>
      <c r="B1096" s="1560"/>
      <c r="C1096" s="1563"/>
      <c r="D1096" s="1566"/>
      <c r="E1096" s="358" t="s">
        <v>460</v>
      </c>
      <c r="F1096" s="359">
        <f t="shared" si="85"/>
        <v>190051</v>
      </c>
      <c r="G1096" s="359"/>
      <c r="H1096" s="359"/>
      <c r="I1096" s="359">
        <v>190051</v>
      </c>
      <c r="J1096" s="360"/>
      <c r="K1096" s="353"/>
      <c r="L1096" s="353"/>
      <c r="M1096" s="353"/>
      <c r="N1096" s="353"/>
      <c r="O1096" s="353"/>
      <c r="P1096" s="353"/>
      <c r="Q1096" s="353"/>
      <c r="R1096" s="353"/>
      <c r="S1096" s="353"/>
      <c r="T1096" s="353"/>
      <c r="U1096" s="353"/>
      <c r="V1096" s="353"/>
      <c r="W1096" s="353"/>
      <c r="X1096" s="353"/>
      <c r="Y1096" s="353"/>
      <c r="Z1096" s="353"/>
      <c r="AA1096" s="353"/>
      <c r="AB1096" s="353"/>
      <c r="AC1096" s="353"/>
      <c r="AD1096" s="353"/>
      <c r="AE1096" s="353"/>
      <c r="AF1096" s="353"/>
      <c r="AG1096" s="353"/>
      <c r="AH1096" s="353"/>
      <c r="AI1096" s="353"/>
      <c r="AJ1096" s="353"/>
      <c r="AK1096" s="353"/>
      <c r="AL1096" s="353"/>
      <c r="AM1096" s="353"/>
      <c r="AN1096" s="353"/>
      <c r="AO1096" s="353"/>
      <c r="AP1096" s="353"/>
      <c r="AQ1096" s="353"/>
      <c r="AR1096" s="353"/>
      <c r="AS1096" s="353"/>
      <c r="AT1096" s="353"/>
      <c r="AU1096" s="353"/>
      <c r="AV1096" s="353"/>
      <c r="AW1096" s="353"/>
      <c r="AX1096" s="353"/>
      <c r="AY1096" s="353"/>
      <c r="AZ1096" s="353"/>
      <c r="BA1096" s="353"/>
      <c r="BB1096" s="353"/>
      <c r="BC1096" s="353"/>
      <c r="BD1096" s="353"/>
      <c r="BE1096" s="353"/>
      <c r="BF1096" s="353"/>
      <c r="BG1096" s="353"/>
      <c r="BH1096" s="353"/>
      <c r="BI1096" s="353"/>
      <c r="BJ1096" s="353"/>
      <c r="BK1096" s="353"/>
      <c r="BL1096" s="353"/>
      <c r="BM1096" s="353"/>
      <c r="BN1096" s="353"/>
      <c r="BO1096" s="353"/>
      <c r="BP1096" s="353"/>
      <c r="BQ1096" s="353"/>
      <c r="BR1096" s="353"/>
      <c r="BS1096" s="353"/>
      <c r="BT1096" s="353"/>
      <c r="BU1096" s="353"/>
      <c r="BV1096" s="353"/>
      <c r="BW1096" s="353"/>
      <c r="BX1096" s="353"/>
      <c r="BY1096" s="353"/>
      <c r="BZ1096" s="353"/>
      <c r="CA1096" s="353"/>
      <c r="CB1096" s="353"/>
      <c r="CC1096" s="353"/>
      <c r="CD1096" s="353"/>
      <c r="CE1096" s="353"/>
      <c r="CF1096" s="353"/>
      <c r="CG1096" s="353"/>
      <c r="CH1096" s="353"/>
      <c r="CI1096" s="353"/>
      <c r="CJ1096" s="353"/>
      <c r="CK1096" s="353"/>
      <c r="CL1096" s="353"/>
      <c r="CM1096" s="353"/>
      <c r="CN1096" s="353"/>
      <c r="CO1096" s="353"/>
      <c r="CP1096" s="353"/>
      <c r="CQ1096" s="353"/>
      <c r="CR1096" s="353"/>
      <c r="CS1096" s="353"/>
      <c r="CT1096" s="353"/>
      <c r="CU1096" s="353"/>
      <c r="CV1096" s="353"/>
      <c r="CW1096" s="353"/>
      <c r="CX1096" s="353"/>
      <c r="CY1096" s="353"/>
      <c r="CZ1096" s="353"/>
      <c r="DA1096" s="353"/>
      <c r="DB1096" s="353"/>
      <c r="DC1096" s="353"/>
      <c r="DD1096" s="353"/>
      <c r="DE1096" s="353"/>
      <c r="DF1096" s="353"/>
      <c r="DG1096" s="353"/>
      <c r="DH1096" s="353"/>
      <c r="DI1096" s="353"/>
      <c r="DJ1096" s="353"/>
      <c r="DK1096" s="353"/>
      <c r="DL1096" s="353"/>
      <c r="DM1096" s="353"/>
      <c r="DN1096" s="353"/>
      <c r="DO1096" s="353"/>
      <c r="DP1096" s="353"/>
      <c r="DQ1096" s="353"/>
      <c r="DR1096" s="353"/>
      <c r="DS1096" s="353"/>
      <c r="DT1096" s="353"/>
      <c r="DU1096" s="353"/>
      <c r="DV1096" s="353"/>
      <c r="DW1096" s="353"/>
      <c r="DX1096" s="353"/>
      <c r="DY1096" s="353"/>
      <c r="DZ1096" s="353"/>
      <c r="EA1096" s="353"/>
      <c r="EB1096" s="353"/>
      <c r="EC1096" s="353"/>
      <c r="ED1096" s="353"/>
      <c r="EE1096" s="353"/>
      <c r="EF1096" s="353"/>
      <c r="EG1096" s="353"/>
      <c r="EH1096" s="353"/>
      <c r="EI1096" s="353"/>
      <c r="EJ1096" s="353"/>
      <c r="EK1096" s="353"/>
      <c r="EL1096" s="353"/>
      <c r="EM1096" s="353"/>
      <c r="EN1096" s="353"/>
      <c r="EO1096" s="353"/>
      <c r="EP1096" s="353"/>
      <c r="EQ1096" s="353"/>
      <c r="ER1096" s="353"/>
      <c r="ES1096" s="353"/>
      <c r="ET1096" s="353"/>
      <c r="EU1096" s="353"/>
      <c r="EV1096" s="353"/>
      <c r="EW1096" s="353"/>
      <c r="EX1096" s="353"/>
      <c r="EY1096" s="353"/>
      <c r="EZ1096" s="353"/>
      <c r="FA1096" s="353"/>
      <c r="FB1096" s="353"/>
      <c r="FC1096" s="353"/>
      <c r="FD1096" s="353"/>
      <c r="FE1096" s="353"/>
      <c r="FF1096" s="353"/>
      <c r="FG1096" s="353"/>
      <c r="FH1096" s="353"/>
      <c r="FI1096" s="353"/>
      <c r="FJ1096" s="353"/>
      <c r="FK1096" s="353"/>
      <c r="FL1096" s="353"/>
      <c r="FM1096" s="353"/>
      <c r="FN1096" s="353"/>
      <c r="FO1096" s="353"/>
      <c r="FP1096" s="353"/>
      <c r="FQ1096" s="353"/>
      <c r="FR1096" s="353"/>
      <c r="FS1096" s="353"/>
      <c r="FT1096" s="353"/>
      <c r="FU1096" s="353"/>
      <c r="FV1096" s="353"/>
      <c r="FW1096" s="353"/>
      <c r="FX1096" s="353"/>
      <c r="FY1096" s="353"/>
      <c r="FZ1096" s="353"/>
      <c r="GA1096" s="353"/>
      <c r="GB1096" s="353"/>
      <c r="GC1096" s="353"/>
      <c r="GD1096" s="353"/>
      <c r="GE1096" s="353"/>
      <c r="GF1096" s="353"/>
      <c r="GG1096" s="353"/>
      <c r="GH1096" s="353"/>
      <c r="GI1096" s="353"/>
      <c r="GJ1096" s="353"/>
      <c r="GK1096" s="353"/>
      <c r="GL1096" s="353"/>
      <c r="GM1096" s="353"/>
      <c r="GN1096" s="353"/>
      <c r="GO1096" s="353"/>
      <c r="GP1096" s="353"/>
      <c r="GQ1096" s="353"/>
      <c r="GR1096" s="353"/>
      <c r="GS1096" s="353"/>
      <c r="GT1096" s="353"/>
      <c r="GU1096" s="353"/>
      <c r="GV1096" s="353"/>
      <c r="GW1096" s="353"/>
      <c r="GX1096" s="353"/>
      <c r="GY1096" s="353"/>
      <c r="GZ1096" s="353"/>
      <c r="HA1096" s="353"/>
      <c r="HB1096" s="353"/>
      <c r="HC1096" s="353"/>
      <c r="HD1096" s="353"/>
      <c r="HE1096" s="353"/>
      <c r="HF1096" s="353"/>
      <c r="HG1096" s="353"/>
      <c r="HH1096" s="353"/>
      <c r="HI1096" s="353"/>
      <c r="HJ1096" s="353"/>
      <c r="HK1096" s="353"/>
      <c r="HL1096" s="353"/>
      <c r="HM1096" s="353"/>
      <c r="HN1096" s="353"/>
      <c r="HO1096" s="353"/>
      <c r="HP1096" s="353"/>
      <c r="HQ1096" s="353"/>
      <c r="HR1096" s="353"/>
    </row>
    <row r="1097" spans="1:226" s="354" customFormat="1" ht="12.95" customHeight="1">
      <c r="A1097" s="1557"/>
      <c r="B1097" s="1560"/>
      <c r="C1097" s="1563"/>
      <c r="D1097" s="1566"/>
      <c r="E1097" s="358" t="s">
        <v>461</v>
      </c>
      <c r="F1097" s="359">
        <f t="shared" si="85"/>
        <v>35449</v>
      </c>
      <c r="G1097" s="359">
        <v>35449</v>
      </c>
      <c r="H1097" s="359"/>
      <c r="I1097" s="359"/>
      <c r="J1097" s="360"/>
      <c r="K1097" s="353"/>
    </row>
    <row r="1098" spans="1:226" s="354" customFormat="1" ht="12.95" customHeight="1">
      <c r="A1098" s="1557"/>
      <c r="B1098" s="1560"/>
      <c r="C1098" s="1563"/>
      <c r="D1098" s="1566"/>
      <c r="E1098" s="358" t="s">
        <v>345</v>
      </c>
      <c r="F1098" s="359">
        <f t="shared" si="85"/>
        <v>46965</v>
      </c>
      <c r="G1098" s="359"/>
      <c r="H1098" s="359"/>
      <c r="I1098" s="359">
        <v>46965</v>
      </c>
      <c r="J1098" s="360"/>
      <c r="K1098" s="353"/>
    </row>
    <row r="1099" spans="1:226" s="354" customFormat="1" ht="12.95" customHeight="1">
      <c r="A1099" s="1557"/>
      <c r="B1099" s="1560"/>
      <c r="C1099" s="1563"/>
      <c r="D1099" s="1566"/>
      <c r="E1099" s="358" t="s">
        <v>346</v>
      </c>
      <c r="F1099" s="359">
        <f t="shared" si="85"/>
        <v>8760</v>
      </c>
      <c r="G1099" s="359">
        <v>8760</v>
      </c>
      <c r="H1099" s="359"/>
      <c r="I1099" s="359"/>
      <c r="J1099" s="360"/>
      <c r="K1099" s="353"/>
    </row>
    <row r="1100" spans="1:226" s="354" customFormat="1" ht="12.95" customHeight="1">
      <c r="A1100" s="1557"/>
      <c r="B1100" s="1560"/>
      <c r="C1100" s="1563"/>
      <c r="D1100" s="1566"/>
      <c r="E1100" s="358" t="s">
        <v>376</v>
      </c>
      <c r="F1100" s="359">
        <f t="shared" si="85"/>
        <v>549</v>
      </c>
      <c r="G1100" s="359"/>
      <c r="H1100" s="359"/>
      <c r="I1100" s="359">
        <v>549</v>
      </c>
      <c r="J1100" s="360"/>
      <c r="K1100" s="353"/>
    </row>
    <row r="1101" spans="1:226" s="354" customFormat="1" ht="12.95" customHeight="1">
      <c r="A1101" s="1557"/>
      <c r="B1101" s="1560"/>
      <c r="C1101" s="1563"/>
      <c r="D1101" s="1566"/>
      <c r="E1101" s="358" t="s">
        <v>377</v>
      </c>
      <c r="F1101" s="359">
        <f t="shared" si="85"/>
        <v>102</v>
      </c>
      <c r="G1101" s="359">
        <v>102</v>
      </c>
      <c r="H1101" s="359"/>
      <c r="I1101" s="359"/>
      <c r="J1101" s="360"/>
      <c r="K1101" s="353"/>
    </row>
    <row r="1102" spans="1:226" s="354" customFormat="1" ht="12.95" customHeight="1">
      <c r="A1102" s="1557"/>
      <c r="B1102" s="1560"/>
      <c r="C1102" s="1563"/>
      <c r="D1102" s="1566"/>
      <c r="E1102" s="358" t="s">
        <v>378</v>
      </c>
      <c r="F1102" s="359">
        <f t="shared" si="85"/>
        <v>53096</v>
      </c>
      <c r="G1102" s="359"/>
      <c r="H1102" s="359"/>
      <c r="I1102" s="359">
        <v>53096</v>
      </c>
      <c r="J1102" s="360"/>
      <c r="K1102" s="353"/>
    </row>
    <row r="1103" spans="1:226" s="354" customFormat="1" ht="12.95" customHeight="1">
      <c r="A1103" s="1557"/>
      <c r="B1103" s="1560"/>
      <c r="C1103" s="1563"/>
      <c r="D1103" s="1566"/>
      <c r="E1103" s="358" t="s">
        <v>379</v>
      </c>
      <c r="F1103" s="359">
        <f t="shared" si="85"/>
        <v>9904</v>
      </c>
      <c r="G1103" s="359">
        <v>9904</v>
      </c>
      <c r="H1103" s="359"/>
      <c r="I1103" s="359"/>
      <c r="J1103" s="360"/>
      <c r="K1103" s="353"/>
    </row>
    <row r="1104" spans="1:226" s="354" customFormat="1" ht="18" customHeight="1">
      <c r="A1104" s="1558"/>
      <c r="B1104" s="1561"/>
      <c r="C1104" s="1564"/>
      <c r="D1104" s="1567"/>
      <c r="E1104" s="361" t="s">
        <v>318</v>
      </c>
      <c r="F1104" s="356">
        <f>SUM(F1105:F1106)</f>
        <v>0</v>
      </c>
      <c r="G1104" s="356">
        <f>SUM(G1105:G1106)</f>
        <v>0</v>
      </c>
      <c r="H1104" s="356">
        <f>SUM(H1105:H1106)</f>
        <v>0</v>
      </c>
      <c r="I1104" s="356">
        <f>SUM(I1105:I1106)</f>
        <v>0</v>
      </c>
      <c r="J1104" s="357">
        <f>SUM(J1105:J1106)</f>
        <v>0</v>
      </c>
      <c r="K1104" s="353"/>
    </row>
    <row r="1105" spans="1:226" s="354" customFormat="1" ht="15" hidden="1" customHeight="1">
      <c r="A1105" s="406"/>
      <c r="B1105" s="407"/>
      <c r="C1105" s="408"/>
      <c r="D1105" s="409"/>
      <c r="E1105" s="401" t="s">
        <v>380</v>
      </c>
      <c r="F1105" s="402">
        <f>SUM(G1105:J1105)</f>
        <v>0</v>
      </c>
      <c r="G1105" s="402"/>
      <c r="H1105" s="402"/>
      <c r="I1105" s="402"/>
      <c r="J1105" s="403"/>
      <c r="K1105" s="353"/>
    </row>
    <row r="1106" spans="1:226" s="354" customFormat="1" ht="15" hidden="1" customHeight="1">
      <c r="A1106" s="397"/>
      <c r="B1106" s="398"/>
      <c r="C1106" s="399"/>
      <c r="D1106" s="400"/>
      <c r="E1106" s="396">
        <v>6069</v>
      </c>
      <c r="F1106" s="359">
        <f>SUM(G1106:J1106)</f>
        <v>0</v>
      </c>
      <c r="G1106" s="359"/>
      <c r="H1106" s="359"/>
      <c r="I1106" s="359"/>
      <c r="J1106" s="360"/>
      <c r="K1106" s="353"/>
    </row>
    <row r="1107" spans="1:226" s="354" customFormat="1" ht="24.95" customHeight="1">
      <c r="A1107" s="1547" t="s">
        <v>360</v>
      </c>
      <c r="B1107" s="1548" t="s">
        <v>518</v>
      </c>
      <c r="C1107" s="1570">
        <v>853</v>
      </c>
      <c r="D1107" s="1572" t="s">
        <v>261</v>
      </c>
      <c r="E1107" s="350" t="s">
        <v>315</v>
      </c>
      <c r="F1107" s="351">
        <f>SUM(F1108,F1144)</f>
        <v>14771253</v>
      </c>
      <c r="G1107" s="351">
        <f>SUM(G1108,G1144)</f>
        <v>2215689</v>
      </c>
      <c r="H1107" s="351">
        <f>SUM(H1108,H1144)</f>
        <v>0</v>
      </c>
      <c r="I1107" s="351">
        <f>SUM(I1108,I1144)</f>
        <v>12555564</v>
      </c>
      <c r="J1107" s="352">
        <f>SUM(J1108,J1144)</f>
        <v>0</v>
      </c>
      <c r="K1107" s="353"/>
    </row>
    <row r="1108" spans="1:226" s="354" customFormat="1" ht="24.95" customHeight="1">
      <c r="A1108" s="1547"/>
      <c r="B1108" s="1548"/>
      <c r="C1108" s="1570"/>
      <c r="D1108" s="1572"/>
      <c r="E1108" s="355" t="s">
        <v>332</v>
      </c>
      <c r="F1108" s="356">
        <f>SUM(F1109,F1112,F1123)</f>
        <v>14725253</v>
      </c>
      <c r="G1108" s="356">
        <f>SUM(G1109,G1112,G1123)</f>
        <v>2208789</v>
      </c>
      <c r="H1108" s="356">
        <f>SUM(H1109,H1112,H1123)</f>
        <v>0</v>
      </c>
      <c r="I1108" s="356">
        <f>SUM(I1109,I1112,I1123)</f>
        <v>12516464</v>
      </c>
      <c r="J1108" s="357">
        <f>SUM(J1109,J1112,J1123)</f>
        <v>0</v>
      </c>
      <c r="K1108" s="353"/>
      <c r="L1108" s="353"/>
      <c r="M1108" s="353"/>
      <c r="N1108" s="353"/>
      <c r="O1108" s="353"/>
      <c r="P1108" s="353"/>
      <c r="Q1108" s="353"/>
      <c r="R1108" s="353"/>
      <c r="S1108" s="353"/>
      <c r="T1108" s="353"/>
      <c r="U1108" s="353"/>
      <c r="V1108" s="353"/>
      <c r="W1108" s="353"/>
      <c r="X1108" s="353"/>
      <c r="Y1108" s="353"/>
      <c r="Z1108" s="353"/>
      <c r="AA1108" s="353"/>
      <c r="AB1108" s="353"/>
      <c r="AC1108" s="353"/>
      <c r="AD1108" s="353"/>
      <c r="AE1108" s="353"/>
      <c r="AF1108" s="353"/>
      <c r="AG1108" s="353"/>
      <c r="AH1108" s="353"/>
      <c r="AI1108" s="353"/>
      <c r="AJ1108" s="353"/>
      <c r="AK1108" s="353"/>
      <c r="AL1108" s="353"/>
      <c r="AM1108" s="353"/>
      <c r="AN1108" s="353"/>
      <c r="AO1108" s="353"/>
      <c r="AP1108" s="353"/>
      <c r="AQ1108" s="353"/>
      <c r="AR1108" s="353"/>
      <c r="AS1108" s="353"/>
      <c r="AT1108" s="353"/>
      <c r="AU1108" s="353"/>
      <c r="AV1108" s="353"/>
      <c r="AW1108" s="353"/>
      <c r="AX1108" s="353"/>
      <c r="AY1108" s="353"/>
      <c r="AZ1108" s="353"/>
      <c r="BA1108" s="353"/>
      <c r="BB1108" s="353"/>
      <c r="BC1108" s="353"/>
      <c r="BD1108" s="353"/>
      <c r="BE1108" s="353"/>
      <c r="BF1108" s="353"/>
      <c r="BG1108" s="353"/>
      <c r="BH1108" s="353"/>
      <c r="BI1108" s="353"/>
      <c r="BJ1108" s="353"/>
      <c r="BK1108" s="353"/>
      <c r="BL1108" s="353"/>
      <c r="BM1108" s="353"/>
      <c r="BN1108" s="353"/>
      <c r="BO1108" s="353"/>
      <c r="BP1108" s="353"/>
      <c r="BQ1108" s="353"/>
      <c r="BR1108" s="353"/>
      <c r="BS1108" s="353"/>
      <c r="BT1108" s="353"/>
      <c r="BU1108" s="353"/>
      <c r="BV1108" s="353"/>
      <c r="BW1108" s="353"/>
      <c r="BX1108" s="353"/>
      <c r="BY1108" s="353"/>
      <c r="BZ1108" s="353"/>
      <c r="CA1108" s="353"/>
      <c r="CB1108" s="353"/>
      <c r="CC1108" s="353"/>
      <c r="CD1108" s="353"/>
      <c r="CE1108" s="353"/>
      <c r="CF1108" s="353"/>
      <c r="CG1108" s="353"/>
      <c r="CH1108" s="353"/>
      <c r="CI1108" s="353"/>
      <c r="CJ1108" s="353"/>
      <c r="CK1108" s="353"/>
      <c r="CL1108" s="353"/>
      <c r="CM1108" s="353"/>
      <c r="CN1108" s="353"/>
      <c r="CO1108" s="353"/>
      <c r="CP1108" s="353"/>
      <c r="CQ1108" s="353"/>
      <c r="CR1108" s="353"/>
      <c r="CS1108" s="353"/>
      <c r="CT1108" s="353"/>
      <c r="CU1108" s="353"/>
      <c r="CV1108" s="353"/>
      <c r="CW1108" s="353"/>
      <c r="CX1108" s="353"/>
      <c r="CY1108" s="353"/>
      <c r="CZ1108" s="353"/>
      <c r="DA1108" s="353"/>
      <c r="DB1108" s="353"/>
      <c r="DC1108" s="353"/>
      <c r="DD1108" s="353"/>
      <c r="DE1108" s="353"/>
      <c r="DF1108" s="353"/>
      <c r="DG1108" s="353"/>
      <c r="DH1108" s="353"/>
      <c r="DI1108" s="353"/>
      <c r="DJ1108" s="353"/>
      <c r="DK1108" s="353"/>
      <c r="DL1108" s="353"/>
      <c r="DM1108" s="353"/>
      <c r="DN1108" s="353"/>
      <c r="DO1108" s="353"/>
      <c r="DP1108" s="353"/>
      <c r="DQ1108" s="353"/>
      <c r="DR1108" s="353"/>
      <c r="DS1108" s="353"/>
      <c r="DT1108" s="353"/>
      <c r="DU1108" s="353"/>
      <c r="DV1108" s="353"/>
      <c r="DW1108" s="353"/>
      <c r="DX1108" s="353"/>
      <c r="DY1108" s="353"/>
      <c r="DZ1108" s="353"/>
      <c r="EA1108" s="353"/>
      <c r="EB1108" s="353"/>
      <c r="EC1108" s="353"/>
      <c r="ED1108" s="353"/>
      <c r="EE1108" s="353"/>
      <c r="EF1108" s="353"/>
      <c r="EG1108" s="353"/>
      <c r="EH1108" s="353"/>
      <c r="EI1108" s="353"/>
      <c r="EJ1108" s="353"/>
      <c r="EK1108" s="353"/>
      <c r="EL1108" s="353"/>
      <c r="EM1108" s="353"/>
      <c r="EN1108" s="353"/>
      <c r="EO1108" s="353"/>
      <c r="EP1108" s="353"/>
      <c r="EQ1108" s="353"/>
      <c r="ER1108" s="353"/>
      <c r="ES1108" s="353"/>
      <c r="ET1108" s="353"/>
      <c r="EU1108" s="353"/>
      <c r="EV1108" s="353"/>
      <c r="EW1108" s="353"/>
      <c r="EX1108" s="353"/>
      <c r="EY1108" s="353"/>
      <c r="EZ1108" s="353"/>
      <c r="FA1108" s="353"/>
      <c r="FB1108" s="353"/>
      <c r="FC1108" s="353"/>
      <c r="FD1108" s="353"/>
      <c r="FE1108" s="353"/>
      <c r="FF1108" s="353"/>
      <c r="FG1108" s="353"/>
      <c r="FH1108" s="353"/>
      <c r="FI1108" s="353"/>
      <c r="FJ1108" s="353"/>
      <c r="FK1108" s="353"/>
      <c r="FL1108" s="353"/>
      <c r="FM1108" s="353"/>
      <c r="FN1108" s="353"/>
      <c r="FO1108" s="353"/>
      <c r="FP1108" s="353"/>
      <c r="FQ1108" s="353"/>
      <c r="FR1108" s="353"/>
      <c r="FS1108" s="353"/>
      <c r="FT1108" s="353"/>
      <c r="FU1108" s="353"/>
      <c r="FV1108" s="353"/>
      <c r="FW1108" s="353"/>
      <c r="FX1108" s="353"/>
      <c r="FY1108" s="353"/>
      <c r="FZ1108" s="353"/>
      <c r="GA1108" s="353"/>
      <c r="GB1108" s="353"/>
      <c r="GC1108" s="353"/>
      <c r="GD1108" s="353"/>
      <c r="GE1108" s="353"/>
      <c r="GF1108" s="353"/>
      <c r="GG1108" s="353"/>
      <c r="GH1108" s="353"/>
      <c r="GI1108" s="353"/>
      <c r="GJ1108" s="353"/>
      <c r="GK1108" s="353"/>
      <c r="GL1108" s="353"/>
      <c r="GM1108" s="353"/>
      <c r="GN1108" s="353"/>
      <c r="GO1108" s="353"/>
      <c r="GP1108" s="353"/>
      <c r="GQ1108" s="353"/>
      <c r="GR1108" s="353"/>
      <c r="GS1108" s="353"/>
      <c r="GT1108" s="353"/>
      <c r="GU1108" s="353"/>
      <c r="GV1108" s="353"/>
      <c r="GW1108" s="353"/>
      <c r="GX1108" s="353"/>
      <c r="GY1108" s="353"/>
      <c r="GZ1108" s="353"/>
      <c r="HA1108" s="353"/>
      <c r="HB1108" s="353"/>
      <c r="HC1108" s="353"/>
      <c r="HD1108" s="353"/>
      <c r="HE1108" s="353"/>
      <c r="HF1108" s="353"/>
      <c r="HG1108" s="353"/>
      <c r="HH1108" s="353"/>
      <c r="HI1108" s="353"/>
      <c r="HJ1108" s="353"/>
      <c r="HK1108" s="353"/>
      <c r="HL1108" s="353"/>
      <c r="HM1108" s="353"/>
      <c r="HN1108" s="353"/>
      <c r="HO1108" s="353"/>
      <c r="HP1108" s="353"/>
      <c r="HQ1108" s="353"/>
      <c r="HR1108" s="353"/>
    </row>
    <row r="1109" spans="1:226" s="354" customFormat="1" ht="24.95" hidden="1" customHeight="1">
      <c r="A1109" s="1547"/>
      <c r="B1109" s="1548"/>
      <c r="C1109" s="1570"/>
      <c r="D1109" s="1572"/>
      <c r="E1109" s="393" t="s">
        <v>389</v>
      </c>
      <c r="F1109" s="394">
        <f>SUM(F1110:F1111)</f>
        <v>0</v>
      </c>
      <c r="G1109" s="394">
        <f>SUM(G1110:G1111)</f>
        <v>0</v>
      </c>
      <c r="H1109" s="394">
        <f>SUM(H1110:H1111)</f>
        <v>0</v>
      </c>
      <c r="I1109" s="394">
        <f>SUM(I1110:I1111)</f>
        <v>0</v>
      </c>
      <c r="J1109" s="395">
        <f>SUM(J1110:J1111)</f>
        <v>0</v>
      </c>
      <c r="K1109" s="353"/>
    </row>
    <row r="1110" spans="1:226" s="354" customFormat="1" ht="15" hidden="1" customHeight="1">
      <c r="A1110" s="1547"/>
      <c r="B1110" s="1548"/>
      <c r="C1110" s="1570"/>
      <c r="D1110" s="1572"/>
      <c r="E1110" s="358"/>
      <c r="F1110" s="359">
        <f>SUM(G1110:J1110)</f>
        <v>0</v>
      </c>
      <c r="G1110" s="359"/>
      <c r="H1110" s="359"/>
      <c r="I1110" s="359"/>
      <c r="J1110" s="360"/>
      <c r="K1110" s="353"/>
    </row>
    <row r="1111" spans="1:226" s="354" customFormat="1" ht="15" hidden="1" customHeight="1">
      <c r="A1111" s="1547"/>
      <c r="B1111" s="1548"/>
      <c r="C1111" s="1570"/>
      <c r="D1111" s="1572"/>
      <c r="E1111" s="358"/>
      <c r="F1111" s="359">
        <f>SUM(G1111:J1111)</f>
        <v>0</v>
      </c>
      <c r="G1111" s="359"/>
      <c r="H1111" s="359"/>
      <c r="I1111" s="359"/>
      <c r="J1111" s="360"/>
      <c r="K1111" s="353"/>
    </row>
    <row r="1112" spans="1:226" s="354" customFormat="1" ht="24.95" customHeight="1">
      <c r="A1112" s="1547"/>
      <c r="B1112" s="1548"/>
      <c r="C1112" s="1570"/>
      <c r="D1112" s="1572"/>
      <c r="E1112" s="393" t="s">
        <v>333</v>
      </c>
      <c r="F1112" s="394">
        <f>SUM(F1113:F1122)</f>
        <v>12845640</v>
      </c>
      <c r="G1112" s="394">
        <f>SUM(G1113:G1122)</f>
        <v>1926847</v>
      </c>
      <c r="H1112" s="394">
        <f>SUM(H1113:H1122)</f>
        <v>0</v>
      </c>
      <c r="I1112" s="394">
        <f>SUM(I1113:I1122)</f>
        <v>10918793</v>
      </c>
      <c r="J1112" s="395">
        <f>SUM(J1113:J1122)</f>
        <v>0</v>
      </c>
      <c r="K1112" s="353"/>
    </row>
    <row r="1113" spans="1:226" s="354" customFormat="1" ht="15" customHeight="1">
      <c r="A1113" s="1547"/>
      <c r="B1113" s="1548"/>
      <c r="C1113" s="1570"/>
      <c r="D1113" s="1572"/>
      <c r="E1113" s="358" t="s">
        <v>362</v>
      </c>
      <c r="F1113" s="359">
        <f t="shared" ref="F1113:F1122" si="86">SUM(G1113:J1113)</f>
        <v>8437893</v>
      </c>
      <c r="G1113" s="359"/>
      <c r="H1113" s="359"/>
      <c r="I1113" s="359">
        <v>8437893</v>
      </c>
      <c r="J1113" s="360"/>
      <c r="K1113" s="353"/>
    </row>
    <row r="1114" spans="1:226" s="354" customFormat="1" ht="15" customHeight="1">
      <c r="A1114" s="1547"/>
      <c r="B1114" s="1548"/>
      <c r="C1114" s="1570"/>
      <c r="D1114" s="1572"/>
      <c r="E1114" s="358" t="s">
        <v>363</v>
      </c>
      <c r="F1114" s="359">
        <f t="shared" si="86"/>
        <v>1489040</v>
      </c>
      <c r="G1114" s="359">
        <v>1489040</v>
      </c>
      <c r="H1114" s="359"/>
      <c r="I1114" s="359"/>
      <c r="J1114" s="360"/>
      <c r="K1114" s="353"/>
    </row>
    <row r="1115" spans="1:226" s="354" customFormat="1" ht="15" customHeight="1">
      <c r="A1115" s="1547"/>
      <c r="B1115" s="1548"/>
      <c r="C1115" s="1570"/>
      <c r="D1115" s="1572"/>
      <c r="E1115" s="358" t="s">
        <v>364</v>
      </c>
      <c r="F1115" s="359">
        <f t="shared" si="86"/>
        <v>576045</v>
      </c>
      <c r="G1115" s="359"/>
      <c r="H1115" s="359"/>
      <c r="I1115" s="359">
        <v>576045</v>
      </c>
      <c r="J1115" s="360"/>
      <c r="K1115" s="353"/>
    </row>
    <row r="1116" spans="1:226" s="354" customFormat="1" ht="15" customHeight="1">
      <c r="A1116" s="1547"/>
      <c r="B1116" s="1548"/>
      <c r="C1116" s="1570"/>
      <c r="D1116" s="1572"/>
      <c r="E1116" s="358" t="s">
        <v>365</v>
      </c>
      <c r="F1116" s="359">
        <f t="shared" si="86"/>
        <v>101655</v>
      </c>
      <c r="G1116" s="359">
        <v>101655</v>
      </c>
      <c r="H1116" s="359"/>
      <c r="I1116" s="359"/>
      <c r="J1116" s="360"/>
      <c r="K1116" s="353"/>
    </row>
    <row r="1117" spans="1:226" s="354" customFormat="1" ht="15" customHeight="1">
      <c r="A1117" s="1547"/>
      <c r="B1117" s="1548"/>
      <c r="C1117" s="1570"/>
      <c r="D1117" s="1572"/>
      <c r="E1117" s="358" t="s">
        <v>334</v>
      </c>
      <c r="F1117" s="359">
        <f t="shared" si="86"/>
        <v>1541384</v>
      </c>
      <c r="G1117" s="359"/>
      <c r="H1117" s="359"/>
      <c r="I1117" s="359">
        <v>1541384</v>
      </c>
      <c r="J1117" s="360"/>
      <c r="K1117" s="353"/>
    </row>
    <row r="1118" spans="1:226" s="354" customFormat="1" ht="15" customHeight="1">
      <c r="A1118" s="1547"/>
      <c r="B1118" s="1548"/>
      <c r="C1118" s="1570"/>
      <c r="D1118" s="1572"/>
      <c r="E1118" s="358" t="s">
        <v>335</v>
      </c>
      <c r="F1118" s="359">
        <f t="shared" si="86"/>
        <v>272009</v>
      </c>
      <c r="G1118" s="359">
        <v>272009</v>
      </c>
      <c r="H1118" s="359"/>
      <c r="I1118" s="359"/>
      <c r="J1118" s="360"/>
      <c r="K1118" s="353"/>
    </row>
    <row r="1119" spans="1:226" s="354" customFormat="1" ht="15" customHeight="1">
      <c r="A1119" s="1547"/>
      <c r="B1119" s="1548"/>
      <c r="C1119" s="1570"/>
      <c r="D1119" s="1572"/>
      <c r="E1119" s="358" t="s">
        <v>366</v>
      </c>
      <c r="F1119" s="359">
        <f t="shared" si="86"/>
        <v>220841</v>
      </c>
      <c r="G1119" s="359"/>
      <c r="H1119" s="359"/>
      <c r="I1119" s="359">
        <v>220841</v>
      </c>
      <c r="J1119" s="360"/>
      <c r="K1119" s="353"/>
    </row>
    <row r="1120" spans="1:226" s="354" customFormat="1" ht="15" customHeight="1">
      <c r="A1120" s="1547"/>
      <c r="B1120" s="1548"/>
      <c r="C1120" s="1570"/>
      <c r="D1120" s="1572"/>
      <c r="E1120" s="358" t="s">
        <v>367</v>
      </c>
      <c r="F1120" s="359">
        <f t="shared" si="86"/>
        <v>38973</v>
      </c>
      <c r="G1120" s="359">
        <v>38973</v>
      </c>
      <c r="H1120" s="359"/>
      <c r="I1120" s="359"/>
      <c r="J1120" s="360"/>
      <c r="K1120" s="353"/>
    </row>
    <row r="1121" spans="1:226" s="354" customFormat="1" ht="15" customHeight="1">
      <c r="A1121" s="1547"/>
      <c r="B1121" s="1548"/>
      <c r="C1121" s="1570"/>
      <c r="D1121" s="1572"/>
      <c r="E1121" s="358" t="s">
        <v>336</v>
      </c>
      <c r="F1121" s="359">
        <f t="shared" si="86"/>
        <v>142630</v>
      </c>
      <c r="G1121" s="359"/>
      <c r="H1121" s="359"/>
      <c r="I1121" s="359">
        <v>142630</v>
      </c>
      <c r="J1121" s="360"/>
      <c r="K1121" s="353"/>
    </row>
    <row r="1122" spans="1:226" s="354" customFormat="1" ht="15" customHeight="1">
      <c r="A1122" s="1547"/>
      <c r="B1122" s="1548"/>
      <c r="C1122" s="1570"/>
      <c r="D1122" s="1572"/>
      <c r="E1122" s="358" t="s">
        <v>337</v>
      </c>
      <c r="F1122" s="359">
        <f t="shared" si="86"/>
        <v>25170</v>
      </c>
      <c r="G1122" s="359">
        <v>25170</v>
      </c>
      <c r="H1122" s="359"/>
      <c r="I1122" s="359"/>
      <c r="J1122" s="360"/>
      <c r="K1122" s="353"/>
    </row>
    <row r="1123" spans="1:226" s="354" customFormat="1" ht="24.95" customHeight="1">
      <c r="A1123" s="1547"/>
      <c r="B1123" s="1548"/>
      <c r="C1123" s="1570"/>
      <c r="D1123" s="1572"/>
      <c r="E1123" s="393" t="s">
        <v>338</v>
      </c>
      <c r="F1123" s="394">
        <f>SUM(F1124:F1143)</f>
        <v>1879613</v>
      </c>
      <c r="G1123" s="394">
        <f>SUM(G1124:G1143)</f>
        <v>281942</v>
      </c>
      <c r="H1123" s="394">
        <f>SUM(H1124:H1143)</f>
        <v>0</v>
      </c>
      <c r="I1123" s="394">
        <f>SUM(I1124:I1143)</f>
        <v>1597671</v>
      </c>
      <c r="J1123" s="395">
        <f>SUM(J1124:J1143)</f>
        <v>0</v>
      </c>
      <c r="K1123" s="353"/>
    </row>
    <row r="1124" spans="1:226" s="354" customFormat="1" ht="14.1" customHeight="1">
      <c r="A1124" s="1547"/>
      <c r="B1124" s="1548"/>
      <c r="C1124" s="1570"/>
      <c r="D1124" s="1572"/>
      <c r="E1124" s="358" t="s">
        <v>370</v>
      </c>
      <c r="F1124" s="359">
        <f t="shared" ref="F1124:F1143" si="87">SUM(G1124:J1124)</f>
        <v>7650</v>
      </c>
      <c r="G1124" s="359"/>
      <c r="H1124" s="359"/>
      <c r="I1124" s="359">
        <v>7650</v>
      </c>
      <c r="J1124" s="360"/>
      <c r="K1124" s="353"/>
    </row>
    <row r="1125" spans="1:226" s="354" customFormat="1" ht="14.1" customHeight="1">
      <c r="A1125" s="1547"/>
      <c r="B1125" s="1548"/>
      <c r="C1125" s="1570"/>
      <c r="D1125" s="1572"/>
      <c r="E1125" s="358" t="s">
        <v>371</v>
      </c>
      <c r="F1125" s="359">
        <f t="shared" si="87"/>
        <v>1350</v>
      </c>
      <c r="G1125" s="359">
        <v>1350</v>
      </c>
      <c r="H1125" s="359"/>
      <c r="I1125" s="359"/>
      <c r="J1125" s="360"/>
      <c r="K1125" s="353"/>
    </row>
    <row r="1126" spans="1:226" s="354" customFormat="1" ht="14.1" customHeight="1">
      <c r="A1126" s="1547"/>
      <c r="B1126" s="1548"/>
      <c r="C1126" s="1570"/>
      <c r="D1126" s="1572"/>
      <c r="E1126" s="358" t="s">
        <v>339</v>
      </c>
      <c r="F1126" s="359">
        <f t="shared" si="87"/>
        <v>265200</v>
      </c>
      <c r="G1126" s="359"/>
      <c r="H1126" s="359"/>
      <c r="I1126" s="359">
        <v>265200</v>
      </c>
      <c r="J1126" s="360"/>
      <c r="K1126" s="353"/>
    </row>
    <row r="1127" spans="1:226" s="354" customFormat="1" ht="14.1" customHeight="1">
      <c r="A1127" s="1547"/>
      <c r="B1127" s="1548"/>
      <c r="C1127" s="1570"/>
      <c r="D1127" s="1572"/>
      <c r="E1127" s="358" t="s">
        <v>340</v>
      </c>
      <c r="F1127" s="359">
        <f t="shared" si="87"/>
        <v>46800</v>
      </c>
      <c r="G1127" s="359">
        <v>46800</v>
      </c>
      <c r="H1127" s="359"/>
      <c r="I1127" s="359"/>
      <c r="J1127" s="360"/>
      <c r="K1127" s="353"/>
    </row>
    <row r="1128" spans="1:226" s="354" customFormat="1" ht="14.1" customHeight="1">
      <c r="A1128" s="1547"/>
      <c r="B1128" s="1548"/>
      <c r="C1128" s="1570"/>
      <c r="D1128" s="1572"/>
      <c r="E1128" s="358" t="s">
        <v>372</v>
      </c>
      <c r="F1128" s="359">
        <f t="shared" si="87"/>
        <v>239375</v>
      </c>
      <c r="G1128" s="359"/>
      <c r="H1128" s="359"/>
      <c r="I1128" s="359">
        <v>239375</v>
      </c>
      <c r="J1128" s="360"/>
      <c r="K1128" s="353"/>
    </row>
    <row r="1129" spans="1:226" s="354" customFormat="1" ht="14.1" customHeight="1">
      <c r="A1129" s="1547"/>
      <c r="B1129" s="1548"/>
      <c r="C1129" s="1570"/>
      <c r="D1129" s="1572"/>
      <c r="E1129" s="358" t="s">
        <v>373</v>
      </c>
      <c r="F1129" s="359">
        <f t="shared" si="87"/>
        <v>42243</v>
      </c>
      <c r="G1129" s="359">
        <v>42243</v>
      </c>
      <c r="H1129" s="359"/>
      <c r="I1129" s="359"/>
      <c r="J1129" s="360"/>
      <c r="K1129" s="353"/>
    </row>
    <row r="1130" spans="1:226" s="354" customFormat="1" ht="14.1" customHeight="1">
      <c r="A1130" s="1547"/>
      <c r="B1130" s="1548"/>
      <c r="C1130" s="1570"/>
      <c r="D1130" s="1572"/>
      <c r="E1130" s="358" t="s">
        <v>374</v>
      </c>
      <c r="F1130" s="359">
        <f t="shared" si="87"/>
        <v>5223</v>
      </c>
      <c r="G1130" s="359"/>
      <c r="H1130" s="359"/>
      <c r="I1130" s="359">
        <v>5223</v>
      </c>
      <c r="J1130" s="360"/>
      <c r="K1130" s="353"/>
    </row>
    <row r="1131" spans="1:226" s="354" customFormat="1" ht="14.1" customHeight="1">
      <c r="A1131" s="1547"/>
      <c r="B1131" s="1548"/>
      <c r="C1131" s="1570"/>
      <c r="D1131" s="1572"/>
      <c r="E1131" s="358" t="s">
        <v>375</v>
      </c>
      <c r="F1131" s="359">
        <f t="shared" si="87"/>
        <v>922</v>
      </c>
      <c r="G1131" s="359">
        <v>922</v>
      </c>
      <c r="H1131" s="359"/>
      <c r="I1131" s="359"/>
      <c r="J1131" s="360"/>
      <c r="K1131" s="353"/>
    </row>
    <row r="1132" spans="1:226" s="354" customFormat="1" ht="14.1" customHeight="1">
      <c r="A1132" s="1547"/>
      <c r="B1132" s="1548"/>
      <c r="C1132" s="1570"/>
      <c r="D1132" s="1572"/>
      <c r="E1132" s="358" t="s">
        <v>341</v>
      </c>
      <c r="F1132" s="359">
        <f t="shared" si="87"/>
        <v>377464</v>
      </c>
      <c r="G1132" s="359"/>
      <c r="H1132" s="359"/>
      <c r="I1132" s="359">
        <v>377464</v>
      </c>
      <c r="J1132" s="360"/>
      <c r="K1132" s="353"/>
    </row>
    <row r="1133" spans="1:226" s="354" customFormat="1" ht="14.1" customHeight="1">
      <c r="A1133" s="1547"/>
      <c r="B1133" s="1548"/>
      <c r="C1133" s="1570"/>
      <c r="D1133" s="1572"/>
      <c r="E1133" s="358" t="s">
        <v>342</v>
      </c>
      <c r="F1133" s="359">
        <f t="shared" si="87"/>
        <v>66611</v>
      </c>
      <c r="G1133" s="359">
        <v>66611</v>
      </c>
      <c r="H1133" s="359"/>
      <c r="I1133" s="359"/>
      <c r="J1133" s="360"/>
      <c r="K1133" s="353"/>
    </row>
    <row r="1134" spans="1:226" s="354" customFormat="1" ht="14.1" customHeight="1">
      <c r="A1134" s="1547"/>
      <c r="B1134" s="1548"/>
      <c r="C1134" s="1570"/>
      <c r="D1134" s="1572"/>
      <c r="E1134" s="358" t="s">
        <v>459</v>
      </c>
      <c r="F1134" s="359">
        <f t="shared" si="87"/>
        <v>19550</v>
      </c>
      <c r="G1134" s="359"/>
      <c r="H1134" s="359"/>
      <c r="I1134" s="359">
        <v>19550</v>
      </c>
      <c r="J1134" s="360"/>
      <c r="K1134" s="353"/>
    </row>
    <row r="1135" spans="1:226" s="354" customFormat="1" ht="14.1" customHeight="1">
      <c r="A1135" s="1547"/>
      <c r="B1135" s="1548"/>
      <c r="C1135" s="1570"/>
      <c r="D1135" s="1572"/>
      <c r="E1135" s="358" t="s">
        <v>433</v>
      </c>
      <c r="F1135" s="359">
        <f t="shared" si="87"/>
        <v>3450</v>
      </c>
      <c r="G1135" s="359">
        <v>3450</v>
      </c>
      <c r="H1135" s="359"/>
      <c r="I1135" s="359"/>
      <c r="J1135" s="360"/>
      <c r="K1135" s="353"/>
    </row>
    <row r="1136" spans="1:226" s="354" customFormat="1" ht="14.1" customHeight="1">
      <c r="A1136" s="1547"/>
      <c r="B1136" s="1548"/>
      <c r="C1136" s="1570"/>
      <c r="D1136" s="1572"/>
      <c r="E1136" s="358" t="s">
        <v>460</v>
      </c>
      <c r="F1136" s="359">
        <f t="shared" si="87"/>
        <v>397800</v>
      </c>
      <c r="G1136" s="359"/>
      <c r="H1136" s="359"/>
      <c r="I1136" s="359">
        <v>397800</v>
      </c>
      <c r="J1136" s="360"/>
      <c r="K1136" s="353"/>
      <c r="L1136" s="353"/>
      <c r="M1136" s="353"/>
      <c r="N1136" s="353"/>
      <c r="O1136" s="353"/>
      <c r="P1136" s="353"/>
      <c r="Q1136" s="353"/>
      <c r="R1136" s="353"/>
      <c r="S1136" s="353"/>
      <c r="T1136" s="353"/>
      <c r="U1136" s="353"/>
      <c r="V1136" s="353"/>
      <c r="W1136" s="353"/>
      <c r="X1136" s="353"/>
      <c r="Y1136" s="353"/>
      <c r="Z1136" s="353"/>
      <c r="AA1136" s="353"/>
      <c r="AB1136" s="353"/>
      <c r="AC1136" s="353"/>
      <c r="AD1136" s="353"/>
      <c r="AE1136" s="353"/>
      <c r="AF1136" s="353"/>
      <c r="AG1136" s="353"/>
      <c r="AH1136" s="353"/>
      <c r="AI1136" s="353"/>
      <c r="AJ1136" s="353"/>
      <c r="AK1136" s="353"/>
      <c r="AL1136" s="353"/>
      <c r="AM1136" s="353"/>
      <c r="AN1136" s="353"/>
      <c r="AO1136" s="353"/>
      <c r="AP1136" s="353"/>
      <c r="AQ1136" s="353"/>
      <c r="AR1136" s="353"/>
      <c r="AS1136" s="353"/>
      <c r="AT1136" s="353"/>
      <c r="AU1136" s="353"/>
      <c r="AV1136" s="353"/>
      <c r="AW1136" s="353"/>
      <c r="AX1136" s="353"/>
      <c r="AY1136" s="353"/>
      <c r="AZ1136" s="353"/>
      <c r="BA1136" s="353"/>
      <c r="BB1136" s="353"/>
      <c r="BC1136" s="353"/>
      <c r="BD1136" s="353"/>
      <c r="BE1136" s="353"/>
      <c r="BF1136" s="353"/>
      <c r="BG1136" s="353"/>
      <c r="BH1136" s="353"/>
      <c r="BI1136" s="353"/>
      <c r="BJ1136" s="353"/>
      <c r="BK1136" s="353"/>
      <c r="BL1136" s="353"/>
      <c r="BM1136" s="353"/>
      <c r="BN1136" s="353"/>
      <c r="BO1136" s="353"/>
      <c r="BP1136" s="353"/>
      <c r="BQ1136" s="353"/>
      <c r="BR1136" s="353"/>
      <c r="BS1136" s="353"/>
      <c r="BT1136" s="353"/>
      <c r="BU1136" s="353"/>
      <c r="BV1136" s="353"/>
      <c r="BW1136" s="353"/>
      <c r="BX1136" s="353"/>
      <c r="BY1136" s="353"/>
      <c r="BZ1136" s="353"/>
      <c r="CA1136" s="353"/>
      <c r="CB1136" s="353"/>
      <c r="CC1136" s="353"/>
      <c r="CD1136" s="353"/>
      <c r="CE1136" s="353"/>
      <c r="CF1136" s="353"/>
      <c r="CG1136" s="353"/>
      <c r="CH1136" s="353"/>
      <c r="CI1136" s="353"/>
      <c r="CJ1136" s="353"/>
      <c r="CK1136" s="353"/>
      <c r="CL1136" s="353"/>
      <c r="CM1136" s="353"/>
      <c r="CN1136" s="353"/>
      <c r="CO1136" s="353"/>
      <c r="CP1136" s="353"/>
      <c r="CQ1136" s="353"/>
      <c r="CR1136" s="353"/>
      <c r="CS1136" s="353"/>
      <c r="CT1136" s="353"/>
      <c r="CU1136" s="353"/>
      <c r="CV1136" s="353"/>
      <c r="CW1136" s="353"/>
      <c r="CX1136" s="353"/>
      <c r="CY1136" s="353"/>
      <c r="CZ1136" s="353"/>
      <c r="DA1136" s="353"/>
      <c r="DB1136" s="353"/>
      <c r="DC1136" s="353"/>
      <c r="DD1136" s="353"/>
      <c r="DE1136" s="353"/>
      <c r="DF1136" s="353"/>
      <c r="DG1136" s="353"/>
      <c r="DH1136" s="353"/>
      <c r="DI1136" s="353"/>
      <c r="DJ1136" s="353"/>
      <c r="DK1136" s="353"/>
      <c r="DL1136" s="353"/>
      <c r="DM1136" s="353"/>
      <c r="DN1136" s="353"/>
      <c r="DO1136" s="353"/>
      <c r="DP1136" s="353"/>
      <c r="DQ1136" s="353"/>
      <c r="DR1136" s="353"/>
      <c r="DS1136" s="353"/>
      <c r="DT1136" s="353"/>
      <c r="DU1136" s="353"/>
      <c r="DV1136" s="353"/>
      <c r="DW1136" s="353"/>
      <c r="DX1136" s="353"/>
      <c r="DY1136" s="353"/>
      <c r="DZ1136" s="353"/>
      <c r="EA1136" s="353"/>
      <c r="EB1136" s="353"/>
      <c r="EC1136" s="353"/>
      <c r="ED1136" s="353"/>
      <c r="EE1136" s="353"/>
      <c r="EF1136" s="353"/>
      <c r="EG1136" s="353"/>
      <c r="EH1136" s="353"/>
      <c r="EI1136" s="353"/>
      <c r="EJ1136" s="353"/>
      <c r="EK1136" s="353"/>
      <c r="EL1136" s="353"/>
      <c r="EM1136" s="353"/>
      <c r="EN1136" s="353"/>
      <c r="EO1136" s="353"/>
      <c r="EP1136" s="353"/>
      <c r="EQ1136" s="353"/>
      <c r="ER1136" s="353"/>
      <c r="ES1136" s="353"/>
      <c r="ET1136" s="353"/>
      <c r="EU1136" s="353"/>
      <c r="EV1136" s="353"/>
      <c r="EW1136" s="353"/>
      <c r="EX1136" s="353"/>
      <c r="EY1136" s="353"/>
      <c r="EZ1136" s="353"/>
      <c r="FA1136" s="353"/>
      <c r="FB1136" s="353"/>
      <c r="FC1136" s="353"/>
      <c r="FD1136" s="353"/>
      <c r="FE1136" s="353"/>
      <c r="FF1136" s="353"/>
      <c r="FG1136" s="353"/>
      <c r="FH1136" s="353"/>
      <c r="FI1136" s="353"/>
      <c r="FJ1136" s="353"/>
      <c r="FK1136" s="353"/>
      <c r="FL1136" s="353"/>
      <c r="FM1136" s="353"/>
      <c r="FN1136" s="353"/>
      <c r="FO1136" s="353"/>
      <c r="FP1136" s="353"/>
      <c r="FQ1136" s="353"/>
      <c r="FR1136" s="353"/>
      <c r="FS1136" s="353"/>
      <c r="FT1136" s="353"/>
      <c r="FU1136" s="353"/>
      <c r="FV1136" s="353"/>
      <c r="FW1136" s="353"/>
      <c r="FX1136" s="353"/>
      <c r="FY1136" s="353"/>
      <c r="FZ1136" s="353"/>
      <c r="GA1136" s="353"/>
      <c r="GB1136" s="353"/>
      <c r="GC1136" s="353"/>
      <c r="GD1136" s="353"/>
      <c r="GE1136" s="353"/>
      <c r="GF1136" s="353"/>
      <c r="GG1136" s="353"/>
      <c r="GH1136" s="353"/>
      <c r="GI1136" s="353"/>
      <c r="GJ1136" s="353"/>
      <c r="GK1136" s="353"/>
      <c r="GL1136" s="353"/>
      <c r="GM1136" s="353"/>
      <c r="GN1136" s="353"/>
      <c r="GO1136" s="353"/>
      <c r="GP1136" s="353"/>
      <c r="GQ1136" s="353"/>
      <c r="GR1136" s="353"/>
      <c r="GS1136" s="353"/>
      <c r="GT1136" s="353"/>
      <c r="GU1136" s="353"/>
      <c r="GV1136" s="353"/>
      <c r="GW1136" s="353"/>
      <c r="GX1136" s="353"/>
      <c r="GY1136" s="353"/>
      <c r="GZ1136" s="353"/>
      <c r="HA1136" s="353"/>
      <c r="HB1136" s="353"/>
      <c r="HC1136" s="353"/>
      <c r="HD1136" s="353"/>
      <c r="HE1136" s="353"/>
      <c r="HF1136" s="353"/>
      <c r="HG1136" s="353"/>
      <c r="HH1136" s="353"/>
      <c r="HI1136" s="353"/>
      <c r="HJ1136" s="353"/>
      <c r="HK1136" s="353"/>
      <c r="HL1136" s="353"/>
      <c r="HM1136" s="353"/>
      <c r="HN1136" s="353"/>
      <c r="HO1136" s="353"/>
      <c r="HP1136" s="353"/>
      <c r="HQ1136" s="353"/>
      <c r="HR1136" s="353"/>
    </row>
    <row r="1137" spans="1:11" s="354" customFormat="1" ht="14.1" customHeight="1">
      <c r="A1137" s="1547"/>
      <c r="B1137" s="1548"/>
      <c r="C1137" s="1570"/>
      <c r="D1137" s="1572"/>
      <c r="E1137" s="358" t="s">
        <v>461</v>
      </c>
      <c r="F1137" s="359">
        <f t="shared" si="87"/>
        <v>70200</v>
      </c>
      <c r="G1137" s="359">
        <v>70200</v>
      </c>
      <c r="H1137" s="359"/>
      <c r="I1137" s="359"/>
      <c r="J1137" s="360"/>
      <c r="K1137" s="353"/>
    </row>
    <row r="1138" spans="1:11" s="354" customFormat="1" ht="14.1" customHeight="1">
      <c r="A1138" s="1547"/>
      <c r="B1138" s="1548"/>
      <c r="C1138" s="1570"/>
      <c r="D1138" s="1572"/>
      <c r="E1138" s="358" t="s">
        <v>345</v>
      </c>
      <c r="F1138" s="359">
        <f t="shared" si="87"/>
        <v>83279</v>
      </c>
      <c r="G1138" s="359"/>
      <c r="H1138" s="359"/>
      <c r="I1138" s="359">
        <v>83279</v>
      </c>
      <c r="J1138" s="360"/>
      <c r="K1138" s="353"/>
    </row>
    <row r="1139" spans="1:11" s="354" customFormat="1" ht="14.1" customHeight="1">
      <c r="A1139" s="1547"/>
      <c r="B1139" s="1548"/>
      <c r="C1139" s="1570"/>
      <c r="D1139" s="1572"/>
      <c r="E1139" s="358" t="s">
        <v>346</v>
      </c>
      <c r="F1139" s="359">
        <f t="shared" si="87"/>
        <v>14696</v>
      </c>
      <c r="G1139" s="359">
        <v>14696</v>
      </c>
      <c r="H1139" s="359"/>
      <c r="I1139" s="359"/>
      <c r="J1139" s="360"/>
      <c r="K1139" s="353"/>
    </row>
    <row r="1140" spans="1:11" s="354" customFormat="1" ht="14.1" customHeight="1">
      <c r="A1140" s="1547"/>
      <c r="B1140" s="1548"/>
      <c r="C1140" s="1570"/>
      <c r="D1140" s="1572"/>
      <c r="E1140" s="358" t="s">
        <v>376</v>
      </c>
      <c r="F1140" s="359">
        <f t="shared" si="87"/>
        <v>3230</v>
      </c>
      <c r="G1140" s="359"/>
      <c r="H1140" s="359"/>
      <c r="I1140" s="359">
        <v>3230</v>
      </c>
      <c r="J1140" s="360"/>
      <c r="K1140" s="353"/>
    </row>
    <row r="1141" spans="1:11" s="354" customFormat="1" ht="14.1" customHeight="1">
      <c r="A1141" s="1547"/>
      <c r="B1141" s="1548"/>
      <c r="C1141" s="1570"/>
      <c r="D1141" s="1572"/>
      <c r="E1141" s="358" t="s">
        <v>377</v>
      </c>
      <c r="F1141" s="359">
        <f t="shared" si="87"/>
        <v>570</v>
      </c>
      <c r="G1141" s="359">
        <v>570</v>
      </c>
      <c r="H1141" s="359"/>
      <c r="I1141" s="359"/>
      <c r="J1141" s="360"/>
      <c r="K1141" s="353"/>
    </row>
    <row r="1142" spans="1:11" s="354" customFormat="1" ht="14.1" customHeight="1">
      <c r="A1142" s="1547"/>
      <c r="B1142" s="1548"/>
      <c r="C1142" s="1570"/>
      <c r="D1142" s="1572"/>
      <c r="E1142" s="358" t="s">
        <v>378</v>
      </c>
      <c r="F1142" s="359">
        <f t="shared" si="87"/>
        <v>198900</v>
      </c>
      <c r="G1142" s="359"/>
      <c r="H1142" s="359"/>
      <c r="I1142" s="359">
        <v>198900</v>
      </c>
      <c r="J1142" s="360"/>
      <c r="K1142" s="353"/>
    </row>
    <row r="1143" spans="1:11" s="354" customFormat="1" ht="14.1" customHeight="1">
      <c r="A1143" s="1547"/>
      <c r="B1143" s="1548"/>
      <c r="C1143" s="1570"/>
      <c r="D1143" s="1572"/>
      <c r="E1143" s="358" t="s">
        <v>379</v>
      </c>
      <c r="F1143" s="359">
        <f t="shared" si="87"/>
        <v>35100</v>
      </c>
      <c r="G1143" s="359">
        <v>35100</v>
      </c>
      <c r="H1143" s="359"/>
      <c r="I1143" s="359"/>
      <c r="J1143" s="360"/>
      <c r="K1143" s="353"/>
    </row>
    <row r="1144" spans="1:11" s="354" customFormat="1" ht="18.75" customHeight="1">
      <c r="A1144" s="1547"/>
      <c r="B1144" s="1548"/>
      <c r="C1144" s="1570"/>
      <c r="D1144" s="1572"/>
      <c r="E1144" s="361" t="s">
        <v>318</v>
      </c>
      <c r="F1144" s="356">
        <f>SUM(F1145:F1146)</f>
        <v>46000</v>
      </c>
      <c r="G1144" s="356">
        <f>SUM(G1145:G1146)</f>
        <v>6900</v>
      </c>
      <c r="H1144" s="356">
        <f>SUM(H1145:H1146)</f>
        <v>0</v>
      </c>
      <c r="I1144" s="356">
        <f>SUM(I1145:I1146)</f>
        <v>39100</v>
      </c>
      <c r="J1144" s="357">
        <f>SUM(J1145:J1146)</f>
        <v>0</v>
      </c>
      <c r="K1144" s="353"/>
    </row>
    <row r="1145" spans="1:11" s="354" customFormat="1" ht="15" customHeight="1">
      <c r="A1145" s="1547"/>
      <c r="B1145" s="1548"/>
      <c r="C1145" s="1570"/>
      <c r="D1145" s="1572"/>
      <c r="E1145" s="358" t="s">
        <v>380</v>
      </c>
      <c r="F1145" s="359">
        <f t="shared" ref="F1145" si="88">SUM(G1145:J1145)</f>
        <v>39100</v>
      </c>
      <c r="G1145" s="359"/>
      <c r="H1145" s="359"/>
      <c r="I1145" s="359">
        <v>39100</v>
      </c>
      <c r="J1145" s="360"/>
      <c r="K1145" s="353"/>
    </row>
    <row r="1146" spans="1:11" s="354" customFormat="1" ht="15" customHeight="1">
      <c r="A1146" s="1547"/>
      <c r="B1146" s="1548"/>
      <c r="C1146" s="1570"/>
      <c r="D1146" s="1572"/>
      <c r="E1146" s="396">
        <v>6069</v>
      </c>
      <c r="F1146" s="359">
        <f>SUM(G1146:J1146)</f>
        <v>6900</v>
      </c>
      <c r="G1146" s="359">
        <v>6900</v>
      </c>
      <c r="H1146" s="359"/>
      <c r="I1146" s="359"/>
      <c r="J1146" s="360"/>
      <c r="K1146" s="353"/>
    </row>
    <row r="1147" spans="1:11" s="354" customFormat="1" ht="24.95" customHeight="1" thickBot="1">
      <c r="A1147" s="425" t="s">
        <v>519</v>
      </c>
      <c r="B1147" s="1588" t="s">
        <v>520</v>
      </c>
      <c r="C1147" s="1588"/>
      <c r="D1147" s="1588"/>
      <c r="E1147" s="1588"/>
      <c r="F1147" s="426">
        <f>F1149</f>
        <v>720000</v>
      </c>
      <c r="G1147" s="426">
        <f t="shared" ref="G1147:J1147" si="89">G1149</f>
        <v>108000</v>
      </c>
      <c r="H1147" s="426">
        <f t="shared" si="89"/>
        <v>612000</v>
      </c>
      <c r="I1147" s="426">
        <f t="shared" si="89"/>
        <v>0</v>
      </c>
      <c r="J1147" s="427">
        <f t="shared" si="89"/>
        <v>0</v>
      </c>
      <c r="K1147" s="353"/>
    </row>
    <row r="1148" spans="1:11" s="354" customFormat="1">
      <c r="A1148" s="1589"/>
      <c r="B1148" s="1590"/>
      <c r="C1148" s="1590"/>
      <c r="D1148" s="1590"/>
      <c r="E1148" s="1590"/>
      <c r="F1148" s="1590"/>
      <c r="G1148" s="1590"/>
      <c r="H1148" s="1590"/>
      <c r="I1148" s="1590"/>
      <c r="J1148" s="1591"/>
      <c r="K1148" s="353"/>
    </row>
    <row r="1149" spans="1:11" s="354" customFormat="1" ht="24.95" customHeight="1">
      <c r="A1149" s="1547" t="s">
        <v>313</v>
      </c>
      <c r="B1149" s="1548" t="s">
        <v>521</v>
      </c>
      <c r="C1149" s="1570">
        <v>852</v>
      </c>
      <c r="D1149" s="1572" t="s">
        <v>515</v>
      </c>
      <c r="E1149" s="350" t="s">
        <v>315</v>
      </c>
      <c r="F1149" s="351">
        <f>SUM(F1150,F1168)</f>
        <v>720000</v>
      </c>
      <c r="G1149" s="351">
        <f>SUM(G1150,G1168)</f>
        <v>108000</v>
      </c>
      <c r="H1149" s="351">
        <f>SUM(H1150,H1168)</f>
        <v>612000</v>
      </c>
      <c r="I1149" s="351">
        <f>SUM(I1150,I1168)</f>
        <v>0</v>
      </c>
      <c r="J1149" s="352">
        <f>SUM(J1150,J1168)</f>
        <v>0</v>
      </c>
      <c r="K1149" s="353"/>
    </row>
    <row r="1150" spans="1:11" s="354" customFormat="1" ht="24.95" customHeight="1">
      <c r="A1150" s="1547"/>
      <c r="B1150" s="1548"/>
      <c r="C1150" s="1570"/>
      <c r="D1150" s="1572"/>
      <c r="E1150" s="355" t="s">
        <v>332</v>
      </c>
      <c r="F1150" s="356">
        <f>SUM(F1151,F1161)</f>
        <v>720000</v>
      </c>
      <c r="G1150" s="356">
        <f>SUM(G1151,G1161)</f>
        <v>108000</v>
      </c>
      <c r="H1150" s="356">
        <f>SUM(H1151,H1161)</f>
        <v>612000</v>
      </c>
      <c r="I1150" s="356">
        <f>SUM(I1151,I1161)</f>
        <v>0</v>
      </c>
      <c r="J1150" s="357">
        <f>SUM(J1151,J1161)</f>
        <v>0</v>
      </c>
      <c r="K1150" s="353"/>
    </row>
    <row r="1151" spans="1:11" s="354" customFormat="1" ht="24.95" customHeight="1">
      <c r="A1151" s="1547"/>
      <c r="B1151" s="1548"/>
      <c r="C1151" s="1570"/>
      <c r="D1151" s="1572"/>
      <c r="E1151" s="393" t="s">
        <v>333</v>
      </c>
      <c r="F1151" s="394">
        <f>SUM(F1152:F1160)</f>
        <v>344821</v>
      </c>
      <c r="G1151" s="394">
        <f>SUM(G1152:G1160)</f>
        <v>107775</v>
      </c>
      <c r="H1151" s="394">
        <f>SUM(H1152:H1160)</f>
        <v>237046</v>
      </c>
      <c r="I1151" s="394">
        <f>SUM(I1152:I1160)</f>
        <v>0</v>
      </c>
      <c r="J1151" s="395">
        <f>SUM(J1152:J1160)</f>
        <v>0</v>
      </c>
      <c r="K1151" s="353"/>
    </row>
    <row r="1152" spans="1:11" s="354" customFormat="1" ht="15" customHeight="1">
      <c r="A1152" s="1547"/>
      <c r="B1152" s="1548"/>
      <c r="C1152" s="1570"/>
      <c r="D1152" s="1572"/>
      <c r="E1152" s="358" t="s">
        <v>391</v>
      </c>
      <c r="F1152" s="359">
        <f t="shared" ref="F1152:F1160" si="90">SUM(G1152:J1152)</f>
        <v>169437</v>
      </c>
      <c r="G1152" s="359"/>
      <c r="H1152" s="359">
        <v>169437</v>
      </c>
      <c r="I1152" s="359"/>
      <c r="J1152" s="360"/>
      <c r="K1152" s="353"/>
    </row>
    <row r="1153" spans="1:226" s="354" customFormat="1" ht="15" customHeight="1">
      <c r="A1153" s="1547"/>
      <c r="B1153" s="1548"/>
      <c r="C1153" s="1570"/>
      <c r="D1153" s="1572"/>
      <c r="E1153" s="358" t="s">
        <v>363</v>
      </c>
      <c r="F1153" s="359">
        <f t="shared" si="90"/>
        <v>90279</v>
      </c>
      <c r="G1153" s="359">
        <v>90279</v>
      </c>
      <c r="H1153" s="359"/>
      <c r="I1153" s="359"/>
      <c r="J1153" s="360"/>
      <c r="K1153" s="353"/>
    </row>
    <row r="1154" spans="1:226" s="354" customFormat="1" ht="15" customHeight="1">
      <c r="A1154" s="1547"/>
      <c r="B1154" s="1548"/>
      <c r="C1154" s="1570"/>
      <c r="D1154" s="1572"/>
      <c r="E1154" s="358" t="s">
        <v>392</v>
      </c>
      <c r="F1154" s="359">
        <f t="shared" si="90"/>
        <v>25889</v>
      </c>
      <c r="G1154" s="359"/>
      <c r="H1154" s="359">
        <v>25889</v>
      </c>
      <c r="I1154" s="359"/>
      <c r="J1154" s="360"/>
      <c r="K1154" s="353"/>
    </row>
    <row r="1155" spans="1:226" s="354" customFormat="1" ht="15" customHeight="1">
      <c r="A1155" s="1547"/>
      <c r="B1155" s="1548"/>
      <c r="C1155" s="1570"/>
      <c r="D1155" s="1572"/>
      <c r="E1155" s="358" t="s">
        <v>393</v>
      </c>
      <c r="F1155" s="359">
        <f t="shared" si="90"/>
        <v>34124</v>
      </c>
      <c r="G1155" s="359"/>
      <c r="H1155" s="359">
        <v>34124</v>
      </c>
      <c r="I1155" s="359"/>
      <c r="J1155" s="360"/>
      <c r="K1155" s="353"/>
    </row>
    <row r="1156" spans="1:226" s="354" customFormat="1" ht="15" customHeight="1">
      <c r="A1156" s="1547"/>
      <c r="B1156" s="1548"/>
      <c r="C1156" s="1570"/>
      <c r="D1156" s="1572"/>
      <c r="E1156" s="358" t="s">
        <v>335</v>
      </c>
      <c r="F1156" s="359">
        <f t="shared" si="90"/>
        <v>15284</v>
      </c>
      <c r="G1156" s="359">
        <v>15284</v>
      </c>
      <c r="H1156" s="359"/>
      <c r="I1156" s="359"/>
      <c r="J1156" s="360"/>
      <c r="K1156" s="353"/>
    </row>
    <row r="1157" spans="1:226" s="354" customFormat="1" ht="15" customHeight="1">
      <c r="A1157" s="1547"/>
      <c r="B1157" s="1548"/>
      <c r="C1157" s="1570"/>
      <c r="D1157" s="1572"/>
      <c r="E1157" s="358" t="s">
        <v>394</v>
      </c>
      <c r="F1157" s="359">
        <f t="shared" si="90"/>
        <v>4796</v>
      </c>
      <c r="G1157" s="359"/>
      <c r="H1157" s="359">
        <v>4796</v>
      </c>
      <c r="I1157" s="359"/>
      <c r="J1157" s="360"/>
      <c r="K1157" s="353"/>
    </row>
    <row r="1158" spans="1:226" s="354" customFormat="1" ht="15" customHeight="1">
      <c r="A1158" s="1547"/>
      <c r="B1158" s="1548"/>
      <c r="C1158" s="1570"/>
      <c r="D1158" s="1572"/>
      <c r="E1158" s="358" t="s">
        <v>367</v>
      </c>
      <c r="F1158" s="359">
        <f t="shared" si="90"/>
        <v>2212</v>
      </c>
      <c r="G1158" s="359">
        <v>2212</v>
      </c>
      <c r="H1158" s="359"/>
      <c r="I1158" s="359"/>
      <c r="J1158" s="360"/>
      <c r="K1158" s="353"/>
    </row>
    <row r="1159" spans="1:226" s="354" customFormat="1" ht="15" customHeight="1">
      <c r="A1159" s="1547"/>
      <c r="B1159" s="1548"/>
      <c r="C1159" s="1570"/>
      <c r="D1159" s="1572"/>
      <c r="E1159" s="358" t="s">
        <v>395</v>
      </c>
      <c r="F1159" s="359">
        <f t="shared" si="90"/>
        <v>2800</v>
      </c>
      <c r="G1159" s="359"/>
      <c r="H1159" s="359">
        <v>2800</v>
      </c>
      <c r="I1159" s="359"/>
      <c r="J1159" s="360"/>
      <c r="K1159" s="353"/>
      <c r="L1159" s="353"/>
      <c r="M1159" s="353"/>
      <c r="N1159" s="353"/>
      <c r="O1159" s="353"/>
      <c r="P1159" s="353"/>
      <c r="Q1159" s="353"/>
      <c r="R1159" s="353"/>
      <c r="S1159" s="353"/>
      <c r="T1159" s="353"/>
      <c r="U1159" s="353"/>
      <c r="V1159" s="353"/>
      <c r="W1159" s="353"/>
      <c r="X1159" s="353"/>
      <c r="Y1159" s="353"/>
      <c r="Z1159" s="353"/>
      <c r="AA1159" s="353"/>
      <c r="AB1159" s="353"/>
      <c r="AC1159" s="353"/>
      <c r="AD1159" s="353"/>
      <c r="AE1159" s="353"/>
      <c r="AF1159" s="353"/>
      <c r="AG1159" s="353"/>
      <c r="AH1159" s="353"/>
      <c r="AI1159" s="353"/>
      <c r="AJ1159" s="353"/>
      <c r="AK1159" s="353"/>
      <c r="AL1159" s="353"/>
      <c r="AM1159" s="353"/>
      <c r="AN1159" s="353"/>
      <c r="AO1159" s="353"/>
      <c r="AP1159" s="353"/>
      <c r="AQ1159" s="353"/>
      <c r="AR1159" s="353"/>
      <c r="AS1159" s="353"/>
      <c r="AT1159" s="353"/>
      <c r="AU1159" s="353"/>
      <c r="AV1159" s="353"/>
      <c r="AW1159" s="353"/>
      <c r="AX1159" s="353"/>
      <c r="AY1159" s="353"/>
      <c r="AZ1159" s="353"/>
      <c r="BA1159" s="353"/>
      <c r="BB1159" s="353"/>
      <c r="BC1159" s="353"/>
      <c r="BD1159" s="353"/>
      <c r="BE1159" s="353"/>
      <c r="BF1159" s="353"/>
      <c r="BG1159" s="353"/>
      <c r="BH1159" s="353"/>
      <c r="BI1159" s="353"/>
      <c r="BJ1159" s="353"/>
      <c r="BK1159" s="353"/>
      <c r="BL1159" s="353"/>
      <c r="BM1159" s="353"/>
      <c r="BN1159" s="353"/>
      <c r="BO1159" s="353"/>
      <c r="BP1159" s="353"/>
      <c r="BQ1159" s="353"/>
      <c r="BR1159" s="353"/>
      <c r="BS1159" s="353"/>
      <c r="BT1159" s="353"/>
      <c r="BU1159" s="353"/>
      <c r="BV1159" s="353"/>
      <c r="BW1159" s="353"/>
      <c r="BX1159" s="353"/>
      <c r="BY1159" s="353"/>
      <c r="BZ1159" s="353"/>
      <c r="CA1159" s="353"/>
      <c r="CB1159" s="353"/>
      <c r="CC1159" s="353"/>
      <c r="CD1159" s="353"/>
      <c r="CE1159" s="353"/>
      <c r="CF1159" s="353"/>
      <c r="CG1159" s="353"/>
      <c r="CH1159" s="353"/>
      <c r="CI1159" s="353"/>
      <c r="CJ1159" s="353"/>
      <c r="CK1159" s="353"/>
      <c r="CL1159" s="353"/>
      <c r="CM1159" s="353"/>
      <c r="CN1159" s="353"/>
      <c r="CO1159" s="353"/>
      <c r="CP1159" s="353"/>
      <c r="CQ1159" s="353"/>
      <c r="CR1159" s="353"/>
      <c r="CS1159" s="353"/>
      <c r="CT1159" s="353"/>
      <c r="CU1159" s="353"/>
      <c r="CV1159" s="353"/>
      <c r="CW1159" s="353"/>
      <c r="CX1159" s="353"/>
      <c r="CY1159" s="353"/>
      <c r="CZ1159" s="353"/>
      <c r="DA1159" s="353"/>
      <c r="DB1159" s="353"/>
      <c r="DC1159" s="353"/>
      <c r="DD1159" s="353"/>
      <c r="DE1159" s="353"/>
      <c r="DF1159" s="353"/>
      <c r="DG1159" s="353"/>
      <c r="DH1159" s="353"/>
      <c r="DI1159" s="353"/>
      <c r="DJ1159" s="353"/>
      <c r="DK1159" s="353"/>
      <c r="DL1159" s="353"/>
      <c r="DM1159" s="353"/>
      <c r="DN1159" s="353"/>
      <c r="DO1159" s="353"/>
      <c r="DP1159" s="353"/>
      <c r="DQ1159" s="353"/>
      <c r="DR1159" s="353"/>
      <c r="DS1159" s="353"/>
      <c r="DT1159" s="353"/>
      <c r="DU1159" s="353"/>
      <c r="DV1159" s="353"/>
      <c r="DW1159" s="353"/>
      <c r="DX1159" s="353"/>
      <c r="DY1159" s="353"/>
      <c r="DZ1159" s="353"/>
      <c r="EA1159" s="353"/>
      <c r="EB1159" s="353"/>
      <c r="EC1159" s="353"/>
      <c r="ED1159" s="353"/>
      <c r="EE1159" s="353"/>
      <c r="EF1159" s="353"/>
      <c r="EG1159" s="353"/>
      <c r="EH1159" s="353"/>
      <c r="EI1159" s="353"/>
      <c r="EJ1159" s="353"/>
      <c r="EK1159" s="353"/>
      <c r="EL1159" s="353"/>
      <c r="EM1159" s="353"/>
      <c r="EN1159" s="353"/>
      <c r="EO1159" s="353"/>
      <c r="EP1159" s="353"/>
      <c r="EQ1159" s="353"/>
      <c r="ER1159" s="353"/>
      <c r="ES1159" s="353"/>
      <c r="ET1159" s="353"/>
      <c r="EU1159" s="353"/>
      <c r="EV1159" s="353"/>
      <c r="EW1159" s="353"/>
      <c r="EX1159" s="353"/>
      <c r="EY1159" s="353"/>
      <c r="EZ1159" s="353"/>
      <c r="FA1159" s="353"/>
      <c r="FB1159" s="353"/>
      <c r="FC1159" s="353"/>
      <c r="FD1159" s="353"/>
      <c r="FE1159" s="353"/>
      <c r="FF1159" s="353"/>
      <c r="FG1159" s="353"/>
      <c r="FH1159" s="353"/>
      <c r="FI1159" s="353"/>
      <c r="FJ1159" s="353"/>
      <c r="FK1159" s="353"/>
      <c r="FL1159" s="353"/>
      <c r="FM1159" s="353"/>
      <c r="FN1159" s="353"/>
      <c r="FO1159" s="353"/>
      <c r="FP1159" s="353"/>
      <c r="FQ1159" s="353"/>
      <c r="FR1159" s="353"/>
      <c r="FS1159" s="353"/>
      <c r="FT1159" s="353"/>
      <c r="FU1159" s="353"/>
      <c r="FV1159" s="353"/>
      <c r="FW1159" s="353"/>
      <c r="FX1159" s="353"/>
      <c r="FY1159" s="353"/>
      <c r="FZ1159" s="353"/>
      <c r="GA1159" s="353"/>
      <c r="GB1159" s="353"/>
      <c r="GC1159" s="353"/>
      <c r="GD1159" s="353"/>
      <c r="GE1159" s="353"/>
      <c r="GF1159" s="353"/>
      <c r="GG1159" s="353"/>
      <c r="GH1159" s="353"/>
      <c r="GI1159" s="353"/>
      <c r="GJ1159" s="353"/>
      <c r="GK1159" s="353"/>
      <c r="GL1159" s="353"/>
      <c r="GM1159" s="353"/>
      <c r="GN1159" s="353"/>
      <c r="GO1159" s="353"/>
      <c r="GP1159" s="353"/>
      <c r="GQ1159" s="353"/>
      <c r="GR1159" s="353"/>
      <c r="GS1159" s="353"/>
      <c r="GT1159" s="353"/>
      <c r="GU1159" s="353"/>
      <c r="GV1159" s="353"/>
      <c r="GW1159" s="353"/>
      <c r="GX1159" s="353"/>
      <c r="GY1159" s="353"/>
      <c r="GZ1159" s="353"/>
      <c r="HA1159" s="353"/>
      <c r="HB1159" s="353"/>
      <c r="HC1159" s="353"/>
      <c r="HD1159" s="353"/>
      <c r="HE1159" s="353"/>
      <c r="HF1159" s="353"/>
      <c r="HG1159" s="353"/>
      <c r="HH1159" s="353"/>
      <c r="HI1159" s="353"/>
      <c r="HJ1159" s="353"/>
      <c r="HK1159" s="353"/>
      <c r="HL1159" s="353"/>
      <c r="HM1159" s="353"/>
      <c r="HN1159" s="353"/>
      <c r="HO1159" s="353"/>
      <c r="HP1159" s="353"/>
      <c r="HQ1159" s="353"/>
      <c r="HR1159" s="353"/>
    </row>
    <row r="1160" spans="1:226" s="354" customFormat="1" ht="15" hidden="1" customHeight="1">
      <c r="A1160" s="1547"/>
      <c r="B1160" s="1548"/>
      <c r="C1160" s="1570"/>
      <c r="D1160" s="1572"/>
      <c r="E1160" s="358" t="s">
        <v>337</v>
      </c>
      <c r="F1160" s="359">
        <f t="shared" si="90"/>
        <v>0</v>
      </c>
      <c r="G1160" s="359"/>
      <c r="H1160" s="359"/>
      <c r="I1160" s="359"/>
      <c r="J1160" s="360"/>
      <c r="K1160" s="353"/>
    </row>
    <row r="1161" spans="1:226" s="354" customFormat="1" ht="24.95" customHeight="1">
      <c r="A1161" s="1547"/>
      <c r="B1161" s="1548"/>
      <c r="C1161" s="1570"/>
      <c r="D1161" s="1572"/>
      <c r="E1161" s="393" t="s">
        <v>338</v>
      </c>
      <c r="F1161" s="394">
        <f>SUM(F1162:F1167)</f>
        <v>375179</v>
      </c>
      <c r="G1161" s="394">
        <f>SUM(G1162:G1167)</f>
        <v>225</v>
      </c>
      <c r="H1161" s="394">
        <f>SUM(H1162:H1167)</f>
        <v>374954</v>
      </c>
      <c r="I1161" s="394">
        <f>SUM(I1162:I1167)</f>
        <v>0</v>
      </c>
      <c r="J1161" s="395">
        <f>SUM(J1162:J1167)</f>
        <v>0</v>
      </c>
      <c r="K1161" s="353"/>
    </row>
    <row r="1162" spans="1:226" s="354" customFormat="1" ht="15" customHeight="1">
      <c r="A1162" s="1547"/>
      <c r="B1162" s="1548"/>
      <c r="C1162" s="1570"/>
      <c r="D1162" s="1572"/>
      <c r="E1162" s="358" t="s">
        <v>522</v>
      </c>
      <c r="F1162" s="359">
        <f t="shared" ref="F1162:F1167" si="91">SUM(G1162:J1162)</f>
        <v>3000</v>
      </c>
      <c r="G1162" s="359"/>
      <c r="H1162" s="359">
        <v>3000</v>
      </c>
      <c r="I1162" s="359"/>
      <c r="J1162" s="360"/>
      <c r="K1162" s="353"/>
    </row>
    <row r="1163" spans="1:226" s="354" customFormat="1" ht="15" customHeight="1">
      <c r="A1163" s="1547"/>
      <c r="B1163" s="1548"/>
      <c r="C1163" s="1570"/>
      <c r="D1163" s="1572"/>
      <c r="E1163" s="358" t="s">
        <v>397</v>
      </c>
      <c r="F1163" s="359">
        <f t="shared" si="91"/>
        <v>290442</v>
      </c>
      <c r="G1163" s="359"/>
      <c r="H1163" s="359">
        <v>290442</v>
      </c>
      <c r="I1163" s="359"/>
      <c r="J1163" s="360"/>
      <c r="K1163" s="353"/>
    </row>
    <row r="1164" spans="1:226" s="354" customFormat="1" ht="15" customHeight="1">
      <c r="A1164" s="1547"/>
      <c r="B1164" s="1548"/>
      <c r="C1164" s="1570"/>
      <c r="D1164" s="1572"/>
      <c r="E1164" s="358" t="s">
        <v>342</v>
      </c>
      <c r="F1164" s="359">
        <f t="shared" si="91"/>
        <v>225</v>
      </c>
      <c r="G1164" s="359">
        <v>225</v>
      </c>
      <c r="H1164" s="359"/>
      <c r="I1164" s="359"/>
      <c r="J1164" s="360"/>
      <c r="K1164" s="353"/>
    </row>
    <row r="1165" spans="1:226" s="354" customFormat="1" ht="15" customHeight="1">
      <c r="A1165" s="1547"/>
      <c r="B1165" s="1548"/>
      <c r="C1165" s="1570"/>
      <c r="D1165" s="1572"/>
      <c r="E1165" s="358" t="s">
        <v>399</v>
      </c>
      <c r="F1165" s="359">
        <f t="shared" si="91"/>
        <v>80000</v>
      </c>
      <c r="G1165" s="359"/>
      <c r="H1165" s="359">
        <v>80000</v>
      </c>
      <c r="I1165" s="359"/>
      <c r="J1165" s="360"/>
      <c r="K1165" s="353"/>
    </row>
    <row r="1166" spans="1:226" s="354" customFormat="1" ht="15" customHeight="1">
      <c r="A1166" s="1547"/>
      <c r="B1166" s="1548"/>
      <c r="C1166" s="1570"/>
      <c r="D1166" s="1572"/>
      <c r="E1166" s="358" t="s">
        <v>400</v>
      </c>
      <c r="F1166" s="359">
        <f t="shared" si="91"/>
        <v>1512</v>
      </c>
      <c r="G1166" s="359"/>
      <c r="H1166" s="359">
        <v>1512</v>
      </c>
      <c r="I1166" s="359"/>
      <c r="J1166" s="360"/>
      <c r="K1166" s="353"/>
    </row>
    <row r="1167" spans="1:226" s="429" customFormat="1" ht="15" hidden="1" customHeight="1">
      <c r="A1167" s="1547"/>
      <c r="B1167" s="1548"/>
      <c r="C1167" s="1570"/>
      <c r="D1167" s="1572"/>
      <c r="E1167" s="358"/>
      <c r="F1167" s="359">
        <f t="shared" si="91"/>
        <v>0</v>
      </c>
      <c r="G1167" s="359"/>
      <c r="H1167" s="359"/>
      <c r="I1167" s="359"/>
      <c r="J1167" s="360"/>
      <c r="K1167" s="428"/>
    </row>
    <row r="1168" spans="1:226" s="429" customFormat="1" ht="18" customHeight="1" thickBot="1">
      <c r="A1168" s="1547"/>
      <c r="B1168" s="1548"/>
      <c r="C1168" s="1570"/>
      <c r="D1168" s="1572"/>
      <c r="E1168" s="361" t="s">
        <v>318</v>
      </c>
      <c r="F1168" s="356">
        <f>SUM(F1169:F1170)</f>
        <v>0</v>
      </c>
      <c r="G1168" s="356">
        <f>SUM(G1169:G1170)</f>
        <v>0</v>
      </c>
      <c r="H1168" s="356">
        <f>SUM(H1169:H1170)</f>
        <v>0</v>
      </c>
      <c r="I1168" s="356">
        <f>SUM(I1169:I1170)</f>
        <v>0</v>
      </c>
      <c r="J1168" s="357">
        <f>SUM(J1169:J1170)</f>
        <v>0</v>
      </c>
      <c r="K1168" s="428"/>
    </row>
    <row r="1169" spans="1:11" s="429" customFormat="1" ht="15" hidden="1" customHeight="1">
      <c r="A1169" s="1547"/>
      <c r="B1169" s="1548"/>
      <c r="C1169" s="1570"/>
      <c r="D1169" s="1572"/>
      <c r="E1169" s="358"/>
      <c r="F1169" s="359">
        <f>SUM(G1169:J1169)</f>
        <v>0</v>
      </c>
      <c r="G1169" s="359"/>
      <c r="H1169" s="359"/>
      <c r="I1169" s="359"/>
      <c r="J1169" s="360"/>
      <c r="K1169" s="428"/>
    </row>
    <row r="1170" spans="1:11" s="106" customFormat="1" ht="15" hidden="1" customHeight="1" thickBot="1">
      <c r="A1170" s="1547"/>
      <c r="B1170" s="1548"/>
      <c r="C1170" s="1570"/>
      <c r="D1170" s="1572"/>
      <c r="E1170" s="396"/>
      <c r="F1170" s="359">
        <f>SUM(G1170:J1170)</f>
        <v>0</v>
      </c>
      <c r="G1170" s="359"/>
      <c r="H1170" s="359"/>
      <c r="I1170" s="359"/>
      <c r="J1170" s="360"/>
      <c r="K1170" s="430"/>
    </row>
    <row r="1171" spans="1:11" s="431" customFormat="1" ht="24.95" customHeight="1">
      <c r="A1171" s="416" t="s">
        <v>523</v>
      </c>
      <c r="B1171" s="1584" t="s">
        <v>524</v>
      </c>
      <c r="C1171" s="1584"/>
      <c r="D1171" s="1584"/>
      <c r="E1171" s="1584"/>
      <c r="F1171" s="417">
        <f>F1173</f>
        <v>309100</v>
      </c>
      <c r="G1171" s="417">
        <f t="shared" ref="G1171:J1171" si="92">G1173</f>
        <v>71865</v>
      </c>
      <c r="H1171" s="417">
        <f t="shared" si="92"/>
        <v>237235</v>
      </c>
      <c r="I1171" s="417">
        <f t="shared" si="92"/>
        <v>0</v>
      </c>
      <c r="J1171" s="418">
        <f t="shared" si="92"/>
        <v>0</v>
      </c>
    </row>
    <row r="1172" spans="1:11" s="106" customFormat="1" ht="15" customHeight="1">
      <c r="A1172" s="1585"/>
      <c r="B1172" s="1586"/>
      <c r="C1172" s="1586"/>
      <c r="D1172" s="1586"/>
      <c r="E1172" s="1586"/>
      <c r="F1172" s="1586"/>
      <c r="G1172" s="1586"/>
      <c r="H1172" s="1586"/>
      <c r="I1172" s="1586"/>
      <c r="J1172" s="1587"/>
    </row>
    <row r="1173" spans="1:11" s="429" customFormat="1" ht="24.95" customHeight="1">
      <c r="A1173" s="1556" t="s">
        <v>313</v>
      </c>
      <c r="B1173" s="1580" t="s">
        <v>525</v>
      </c>
      <c r="C1173" s="1562">
        <v>801</v>
      </c>
      <c r="D1173" s="1565" t="s">
        <v>526</v>
      </c>
      <c r="E1173" s="350" t="s">
        <v>315</v>
      </c>
      <c r="F1173" s="351">
        <f>SUM(F1174,F1183)</f>
        <v>309100</v>
      </c>
      <c r="G1173" s="351">
        <f>SUM(G1174,G1183)</f>
        <v>71865</v>
      </c>
      <c r="H1173" s="351">
        <f>SUM(H1174,H1183)</f>
        <v>237235</v>
      </c>
      <c r="I1173" s="351">
        <f>SUM(I1174,I1183)</f>
        <v>0</v>
      </c>
      <c r="J1173" s="352">
        <f>SUM(J1174,J1183)</f>
        <v>0</v>
      </c>
    </row>
    <row r="1174" spans="1:11" s="429" customFormat="1" ht="24.95" customHeight="1">
      <c r="A1174" s="1557"/>
      <c r="B1174" s="1581"/>
      <c r="C1174" s="1563"/>
      <c r="D1174" s="1566"/>
      <c r="E1174" s="432" t="s">
        <v>332</v>
      </c>
      <c r="F1174" s="433">
        <f>SUM(F1175,F1178)</f>
        <v>309100</v>
      </c>
      <c r="G1174" s="433">
        <f>SUM(G1175,G1178)</f>
        <v>71865</v>
      </c>
      <c r="H1174" s="433">
        <f>SUM(H1175,H1178)</f>
        <v>237235</v>
      </c>
      <c r="I1174" s="433">
        <f>SUM(I1175,I1178)</f>
        <v>0</v>
      </c>
      <c r="J1174" s="434">
        <f>SUM(J1175,J1178)</f>
        <v>0</v>
      </c>
    </row>
    <row r="1175" spans="1:11" s="106" customFormat="1" ht="24.95" customHeight="1">
      <c r="A1175" s="1557"/>
      <c r="B1175" s="1581"/>
      <c r="C1175" s="1563"/>
      <c r="D1175" s="1566"/>
      <c r="E1175" s="435" t="s">
        <v>333</v>
      </c>
      <c r="F1175" s="359">
        <f>SUM(F1176:F1177)</f>
        <v>30000</v>
      </c>
      <c r="G1175" s="359">
        <f>SUM(G1176:G1177)</f>
        <v>30000</v>
      </c>
      <c r="H1175" s="359">
        <f>SUM(H1176:H1177)</f>
        <v>0</v>
      </c>
      <c r="I1175" s="359">
        <f>SUM(I1176:I1177)</f>
        <v>0</v>
      </c>
      <c r="J1175" s="360">
        <f>SUM(J1176:J1177)</f>
        <v>0</v>
      </c>
    </row>
    <row r="1176" spans="1:11" s="106" customFormat="1" ht="15" customHeight="1">
      <c r="A1176" s="1557"/>
      <c r="B1176" s="1581"/>
      <c r="C1176" s="1563"/>
      <c r="D1176" s="1566"/>
      <c r="E1176" s="358" t="s">
        <v>527</v>
      </c>
      <c r="F1176" s="359">
        <f>SUM(G1176:J1176)</f>
        <v>30000</v>
      </c>
      <c r="G1176" s="359">
        <v>30000</v>
      </c>
      <c r="H1176" s="359"/>
      <c r="I1176" s="359"/>
      <c r="J1176" s="360"/>
    </row>
    <row r="1177" spans="1:11" s="106" customFormat="1" ht="15" hidden="1" customHeight="1">
      <c r="A1177" s="1557"/>
      <c r="B1177" s="1581"/>
      <c r="C1177" s="1563"/>
      <c r="D1177" s="1566"/>
      <c r="E1177" s="358" t="s">
        <v>395</v>
      </c>
      <c r="F1177" s="359">
        <f>SUM(G1177:J1177)</f>
        <v>0</v>
      </c>
      <c r="G1177" s="359"/>
      <c r="H1177" s="359"/>
      <c r="I1177" s="359"/>
      <c r="J1177" s="360"/>
    </row>
    <row r="1178" spans="1:11" s="106" customFormat="1" ht="24.95" customHeight="1">
      <c r="A1178" s="1557"/>
      <c r="B1178" s="1581"/>
      <c r="C1178" s="1563"/>
      <c r="D1178" s="1566"/>
      <c r="E1178" s="435" t="s">
        <v>338</v>
      </c>
      <c r="F1178" s="359">
        <f>SUM(F1179:F1182)</f>
        <v>279100</v>
      </c>
      <c r="G1178" s="359">
        <f>SUM(G1179:G1182)</f>
        <v>41865</v>
      </c>
      <c r="H1178" s="359">
        <f>SUM(H1179:H1182)</f>
        <v>237235</v>
      </c>
      <c r="I1178" s="359">
        <f>SUM(I1179:I1182)</f>
        <v>0</v>
      </c>
      <c r="J1178" s="360">
        <f>SUM(J1179:J1182)</f>
        <v>0</v>
      </c>
    </row>
    <row r="1179" spans="1:11" s="106" customFormat="1" ht="15" hidden="1" customHeight="1">
      <c r="A1179" s="1557"/>
      <c r="B1179" s="1581"/>
      <c r="C1179" s="1563"/>
      <c r="D1179" s="1566"/>
      <c r="E1179" s="358" t="s">
        <v>528</v>
      </c>
      <c r="F1179" s="359">
        <f t="shared" ref="F1179:F1182" si="93">SUM(G1179:J1179)</f>
        <v>0</v>
      </c>
      <c r="G1179" s="359"/>
      <c r="H1179" s="359"/>
      <c r="I1179" s="359"/>
      <c r="J1179" s="360"/>
    </row>
    <row r="1180" spans="1:11" s="106" customFormat="1" ht="15" customHeight="1">
      <c r="A1180" s="1557"/>
      <c r="B1180" s="1581"/>
      <c r="C1180" s="1563"/>
      <c r="D1180" s="1566"/>
      <c r="E1180" s="358" t="s">
        <v>397</v>
      </c>
      <c r="F1180" s="359">
        <f t="shared" si="93"/>
        <v>237235</v>
      </c>
      <c r="G1180" s="359"/>
      <c r="H1180" s="359">
        <v>237235</v>
      </c>
      <c r="I1180" s="359"/>
      <c r="J1180" s="360"/>
    </row>
    <row r="1181" spans="1:11" s="106" customFormat="1" ht="15" customHeight="1">
      <c r="A1181" s="1557"/>
      <c r="B1181" s="1581"/>
      <c r="C1181" s="1563"/>
      <c r="D1181" s="1566"/>
      <c r="E1181" s="358" t="s">
        <v>342</v>
      </c>
      <c r="F1181" s="359">
        <f t="shared" si="93"/>
        <v>41865</v>
      </c>
      <c r="G1181" s="359">
        <v>41865</v>
      </c>
      <c r="H1181" s="359"/>
      <c r="I1181" s="359"/>
      <c r="J1181" s="360"/>
    </row>
    <row r="1182" spans="1:11" s="106" customFormat="1" ht="15" hidden="1" customHeight="1">
      <c r="A1182" s="1557"/>
      <c r="B1182" s="1581"/>
      <c r="C1182" s="1563"/>
      <c r="D1182" s="1566"/>
      <c r="E1182" s="358" t="s">
        <v>432</v>
      </c>
      <c r="F1182" s="359">
        <f t="shared" si="93"/>
        <v>0</v>
      </c>
      <c r="G1182" s="359"/>
      <c r="H1182" s="359"/>
      <c r="I1182" s="359"/>
      <c r="J1182" s="360"/>
    </row>
    <row r="1183" spans="1:11" s="429" customFormat="1" ht="24.95" customHeight="1">
      <c r="A1183" s="1558"/>
      <c r="B1183" s="1582"/>
      <c r="C1183" s="1564"/>
      <c r="D1183" s="1567"/>
      <c r="E1183" s="436" t="s">
        <v>318</v>
      </c>
      <c r="F1183" s="433">
        <f>SUM(F1184:F1185)</f>
        <v>0</v>
      </c>
      <c r="G1183" s="433">
        <f>SUM(G1184:G1185)</f>
        <v>0</v>
      </c>
      <c r="H1183" s="433">
        <f>SUM(H1184:H1185)</f>
        <v>0</v>
      </c>
      <c r="I1183" s="433">
        <f>SUM(I1184:I1185)</f>
        <v>0</v>
      </c>
      <c r="J1183" s="434">
        <f>SUM(J1184:J1185)</f>
        <v>0</v>
      </c>
    </row>
    <row r="1184" spans="1:11" s="106" customFormat="1" ht="15" hidden="1" customHeight="1">
      <c r="A1184" s="406"/>
      <c r="B1184" s="437"/>
      <c r="C1184" s="408"/>
      <c r="D1184" s="409"/>
      <c r="E1184" s="401"/>
      <c r="F1184" s="402">
        <f>SUM(G1184:J1184)</f>
        <v>0</v>
      </c>
      <c r="G1184" s="402"/>
      <c r="H1184" s="402"/>
      <c r="I1184" s="402"/>
      <c r="J1184" s="403"/>
    </row>
    <row r="1185" spans="1:10" s="106" customFormat="1" ht="15" hidden="1" customHeight="1">
      <c r="A1185" s="397"/>
      <c r="B1185" s="405"/>
      <c r="C1185" s="399"/>
      <c r="D1185" s="400"/>
      <c r="E1185" s="396"/>
      <c r="F1185" s="359">
        <f>SUM(G1185:J1185)</f>
        <v>0</v>
      </c>
      <c r="G1185" s="359"/>
      <c r="H1185" s="359"/>
      <c r="I1185" s="359"/>
      <c r="J1185" s="360"/>
    </row>
    <row r="1186" spans="1:10" s="106" customFormat="1" ht="20.25" customHeight="1">
      <c r="A1186" s="419" t="s">
        <v>529</v>
      </c>
      <c r="B1186" s="1583" t="s">
        <v>530</v>
      </c>
      <c r="C1186" s="1583"/>
      <c r="D1186" s="1583"/>
      <c r="E1186" s="1583"/>
      <c r="F1186" s="420">
        <f>F1188</f>
        <v>1570894</v>
      </c>
      <c r="G1186" s="420">
        <f t="shared" ref="G1186:J1186" si="94">G1188</f>
        <v>0</v>
      </c>
      <c r="H1186" s="420">
        <f t="shared" si="94"/>
        <v>1483743</v>
      </c>
      <c r="I1186" s="420">
        <f t="shared" si="94"/>
        <v>87151</v>
      </c>
      <c r="J1186" s="421">
        <f t="shared" si="94"/>
        <v>0</v>
      </c>
    </row>
    <row r="1187" spans="1:10" s="106" customFormat="1" ht="15" customHeight="1">
      <c r="A1187" s="1577"/>
      <c r="B1187" s="1578"/>
      <c r="C1187" s="1578"/>
      <c r="D1187" s="1578"/>
      <c r="E1187" s="1578"/>
      <c r="F1187" s="1578"/>
      <c r="G1187" s="1578"/>
      <c r="H1187" s="1578"/>
      <c r="I1187" s="1578"/>
      <c r="J1187" s="1579"/>
    </row>
    <row r="1188" spans="1:10" s="106" customFormat="1" ht="22.5" customHeight="1">
      <c r="A1188" s="1556" t="s">
        <v>313</v>
      </c>
      <c r="B1188" s="1559" t="s">
        <v>531</v>
      </c>
      <c r="C1188" s="1562">
        <v>801</v>
      </c>
      <c r="D1188" s="1565" t="s">
        <v>532</v>
      </c>
      <c r="E1188" s="350" t="s">
        <v>315</v>
      </c>
      <c r="F1188" s="351">
        <f>SUM(F1189,F1213)</f>
        <v>1570894</v>
      </c>
      <c r="G1188" s="351">
        <f>SUM(G1189,G1213)</f>
        <v>0</v>
      </c>
      <c r="H1188" s="351">
        <f>SUM(H1189,H1213)</f>
        <v>1483743</v>
      </c>
      <c r="I1188" s="351">
        <f>SUM(I1189,I1213)</f>
        <v>87151</v>
      </c>
      <c r="J1188" s="352">
        <f>SUM(J1189,J1213)</f>
        <v>0</v>
      </c>
    </row>
    <row r="1189" spans="1:10" s="106" customFormat="1" ht="21">
      <c r="A1189" s="1557"/>
      <c r="B1189" s="1560"/>
      <c r="C1189" s="1563"/>
      <c r="D1189" s="1566"/>
      <c r="E1189" s="355" t="s">
        <v>332</v>
      </c>
      <c r="F1189" s="356">
        <f>SUM(F1190,F1193,F1200)</f>
        <v>1570894</v>
      </c>
      <c r="G1189" s="356">
        <f>SUM(G1190,G1193,G1200)</f>
        <v>0</v>
      </c>
      <c r="H1189" s="356">
        <f>SUM(H1190,H1193,H1200)</f>
        <v>1483743</v>
      </c>
      <c r="I1189" s="356">
        <f>SUM(I1190,I1193,I1200)</f>
        <v>87151</v>
      </c>
      <c r="J1189" s="357">
        <f>SUM(J1190,J1193,J1200)</f>
        <v>0</v>
      </c>
    </row>
    <row r="1190" spans="1:10" s="106" customFormat="1" ht="24.95" customHeight="1">
      <c r="A1190" s="1557"/>
      <c r="B1190" s="1560"/>
      <c r="C1190" s="1563"/>
      <c r="D1190" s="1566"/>
      <c r="E1190" s="393" t="s">
        <v>389</v>
      </c>
      <c r="F1190" s="394">
        <f>SUM(F1191:F1192)</f>
        <v>859440</v>
      </c>
      <c r="G1190" s="394">
        <f>SUM(G1191:G1192)</f>
        <v>0</v>
      </c>
      <c r="H1190" s="394">
        <f>SUM(H1191:H1192)</f>
        <v>811761</v>
      </c>
      <c r="I1190" s="394">
        <f>SUM(I1191:I1192)</f>
        <v>47679</v>
      </c>
      <c r="J1190" s="395">
        <f>SUM(J1191:J1192)</f>
        <v>0</v>
      </c>
    </row>
    <row r="1191" spans="1:10" s="106" customFormat="1" ht="15" customHeight="1">
      <c r="A1191" s="1557"/>
      <c r="B1191" s="1560"/>
      <c r="C1191" s="1563"/>
      <c r="D1191" s="1566"/>
      <c r="E1191" s="410" t="s">
        <v>412</v>
      </c>
      <c r="F1191" s="359">
        <f>SUM(G1191:J1191)</f>
        <v>811761</v>
      </c>
      <c r="G1191" s="359"/>
      <c r="H1191" s="359">
        <v>811761</v>
      </c>
      <c r="I1191" s="359"/>
      <c r="J1191" s="360"/>
    </row>
    <row r="1192" spans="1:10" s="106" customFormat="1" ht="15" customHeight="1">
      <c r="A1192" s="1557"/>
      <c r="B1192" s="1560"/>
      <c r="C1192" s="1563"/>
      <c r="D1192" s="1566"/>
      <c r="E1192" s="410" t="s">
        <v>466</v>
      </c>
      <c r="F1192" s="359">
        <f>SUM(G1192:J1192)</f>
        <v>47679</v>
      </c>
      <c r="G1192" s="359"/>
      <c r="H1192" s="359"/>
      <c r="I1192" s="359">
        <v>47679</v>
      </c>
      <c r="J1192" s="360"/>
    </row>
    <row r="1193" spans="1:10" s="106" customFormat="1" ht="24.95" customHeight="1">
      <c r="A1193" s="1557"/>
      <c r="B1193" s="1560"/>
      <c r="C1193" s="1563"/>
      <c r="D1193" s="1566"/>
      <c r="E1193" s="393" t="s">
        <v>333</v>
      </c>
      <c r="F1193" s="394">
        <f>SUM(F1194:F1199)</f>
        <v>141263</v>
      </c>
      <c r="G1193" s="394">
        <f>SUM(G1194:G1199)</f>
        <v>0</v>
      </c>
      <c r="H1193" s="394">
        <f>SUM(H1194:H1199)</f>
        <v>133423</v>
      </c>
      <c r="I1193" s="394">
        <f>SUM(I1194:I1199)</f>
        <v>7840</v>
      </c>
      <c r="J1193" s="395">
        <f>SUM(J1194:J1199)</f>
        <v>0</v>
      </c>
    </row>
    <row r="1194" spans="1:10" s="106" customFormat="1" ht="15" customHeight="1">
      <c r="A1194" s="1557"/>
      <c r="B1194" s="1560"/>
      <c r="C1194" s="1563"/>
      <c r="D1194" s="1566"/>
      <c r="E1194" s="358" t="s">
        <v>391</v>
      </c>
      <c r="F1194" s="359">
        <f t="shared" ref="F1194:F1199" si="95">SUM(G1194:J1194)</f>
        <v>111520</v>
      </c>
      <c r="G1194" s="359"/>
      <c r="H1194" s="359">
        <v>111520</v>
      </c>
      <c r="I1194" s="359"/>
      <c r="J1194" s="360"/>
    </row>
    <row r="1195" spans="1:10" s="106" customFormat="1" ht="15" customHeight="1">
      <c r="A1195" s="1557"/>
      <c r="B1195" s="1560"/>
      <c r="C1195" s="1563"/>
      <c r="D1195" s="1566"/>
      <c r="E1195" s="358" t="s">
        <v>363</v>
      </c>
      <c r="F1195" s="359">
        <f t="shared" si="95"/>
        <v>6553</v>
      </c>
      <c r="G1195" s="359"/>
      <c r="H1195" s="359"/>
      <c r="I1195" s="359">
        <v>6553</v>
      </c>
      <c r="J1195" s="360"/>
    </row>
    <row r="1196" spans="1:10" s="106" customFormat="1" ht="15" customHeight="1">
      <c r="A1196" s="1557"/>
      <c r="B1196" s="1560"/>
      <c r="C1196" s="1563"/>
      <c r="D1196" s="1566"/>
      <c r="E1196" s="358" t="s">
        <v>393</v>
      </c>
      <c r="F1196" s="359">
        <f t="shared" si="95"/>
        <v>19171</v>
      </c>
      <c r="G1196" s="359"/>
      <c r="H1196" s="359">
        <v>19171</v>
      </c>
      <c r="I1196" s="359"/>
      <c r="J1196" s="360"/>
    </row>
    <row r="1197" spans="1:10" s="106" customFormat="1" ht="15" customHeight="1">
      <c r="A1197" s="1557"/>
      <c r="B1197" s="1560"/>
      <c r="C1197" s="1563"/>
      <c r="D1197" s="1566"/>
      <c r="E1197" s="358" t="s">
        <v>335</v>
      </c>
      <c r="F1197" s="359">
        <f t="shared" si="95"/>
        <v>1126</v>
      </c>
      <c r="G1197" s="359"/>
      <c r="H1197" s="359"/>
      <c r="I1197" s="359">
        <v>1126</v>
      </c>
      <c r="J1197" s="360"/>
    </row>
    <row r="1198" spans="1:10" s="106" customFormat="1" ht="15" customHeight="1">
      <c r="A1198" s="1557"/>
      <c r="B1198" s="1560"/>
      <c r="C1198" s="1563"/>
      <c r="D1198" s="1566"/>
      <c r="E1198" s="358" t="s">
        <v>394</v>
      </c>
      <c r="F1198" s="359">
        <f t="shared" si="95"/>
        <v>2732</v>
      </c>
      <c r="G1198" s="359"/>
      <c r="H1198" s="359">
        <v>2732</v>
      </c>
      <c r="I1198" s="359"/>
      <c r="J1198" s="360"/>
    </row>
    <row r="1199" spans="1:10" s="106" customFormat="1" ht="15" customHeight="1">
      <c r="A1199" s="1557"/>
      <c r="B1199" s="1560"/>
      <c r="C1199" s="1563"/>
      <c r="D1199" s="1566"/>
      <c r="E1199" s="358" t="s">
        <v>367</v>
      </c>
      <c r="F1199" s="359">
        <f t="shared" si="95"/>
        <v>161</v>
      </c>
      <c r="G1199" s="359"/>
      <c r="H1199" s="359"/>
      <c r="I1199" s="359">
        <v>161</v>
      </c>
      <c r="J1199" s="360"/>
    </row>
    <row r="1200" spans="1:10" s="106" customFormat="1" ht="24.95" customHeight="1">
      <c r="A1200" s="1557"/>
      <c r="B1200" s="1560"/>
      <c r="C1200" s="1563"/>
      <c r="D1200" s="1566"/>
      <c r="E1200" s="393" t="s">
        <v>338</v>
      </c>
      <c r="F1200" s="394">
        <f>SUM(F1201:F1212)</f>
        <v>570191</v>
      </c>
      <c r="G1200" s="394">
        <f>SUM(G1201:G1212)</f>
        <v>0</v>
      </c>
      <c r="H1200" s="394">
        <f>SUM(H1201:H1212)</f>
        <v>538559</v>
      </c>
      <c r="I1200" s="394">
        <f>SUM(I1201:I1212)</f>
        <v>31632</v>
      </c>
      <c r="J1200" s="395">
        <f>SUM(J1201:J1212)</f>
        <v>0</v>
      </c>
    </row>
    <row r="1201" spans="1:20" s="354" customFormat="1" ht="15" customHeight="1">
      <c r="A1201" s="1557"/>
      <c r="B1201" s="1560"/>
      <c r="C1201" s="1563"/>
      <c r="D1201" s="1566"/>
      <c r="E1201" s="410" t="s">
        <v>533</v>
      </c>
      <c r="F1201" s="359">
        <f t="shared" ref="F1201:F1212" si="96">SUM(G1201:J1201)</f>
        <v>274</v>
      </c>
      <c r="G1201" s="359"/>
      <c r="H1201" s="359">
        <v>274</v>
      </c>
      <c r="I1201" s="359"/>
      <c r="J1201" s="360"/>
    </row>
    <row r="1202" spans="1:20" s="354" customFormat="1" ht="15" customHeight="1">
      <c r="A1202" s="1557"/>
      <c r="B1202" s="1560"/>
      <c r="C1202" s="1563"/>
      <c r="D1202" s="1566"/>
      <c r="E1202" s="410" t="s">
        <v>371</v>
      </c>
      <c r="F1202" s="359">
        <f t="shared" si="96"/>
        <v>16</v>
      </c>
      <c r="G1202" s="359"/>
      <c r="H1202" s="359"/>
      <c r="I1202" s="359">
        <v>16</v>
      </c>
      <c r="J1202" s="360"/>
    </row>
    <row r="1203" spans="1:20" s="354" customFormat="1" ht="15" customHeight="1">
      <c r="A1203" s="1557"/>
      <c r="B1203" s="1560"/>
      <c r="C1203" s="1563"/>
      <c r="D1203" s="1566"/>
      <c r="E1203" s="410" t="s">
        <v>396</v>
      </c>
      <c r="F1203" s="359">
        <f t="shared" si="96"/>
        <v>8784</v>
      </c>
      <c r="G1203" s="359"/>
      <c r="H1203" s="359">
        <v>8784</v>
      </c>
      <c r="I1203" s="359"/>
      <c r="J1203" s="360"/>
    </row>
    <row r="1204" spans="1:20" s="354" customFormat="1" ht="15" customHeight="1">
      <c r="A1204" s="1557"/>
      <c r="B1204" s="1560"/>
      <c r="C1204" s="1563"/>
      <c r="D1204" s="1566"/>
      <c r="E1204" s="410" t="s">
        <v>340</v>
      </c>
      <c r="F1204" s="359">
        <f t="shared" si="96"/>
        <v>516</v>
      </c>
      <c r="G1204" s="359"/>
      <c r="H1204" s="359"/>
      <c r="I1204" s="359">
        <v>516</v>
      </c>
      <c r="J1204" s="360"/>
    </row>
    <row r="1205" spans="1:20" s="354" customFormat="1" ht="15" customHeight="1">
      <c r="A1205" s="1557"/>
      <c r="B1205" s="1560"/>
      <c r="C1205" s="1563"/>
      <c r="D1205" s="1566"/>
      <c r="E1205" s="410" t="s">
        <v>528</v>
      </c>
      <c r="F1205" s="359">
        <f t="shared" si="96"/>
        <v>142</v>
      </c>
      <c r="G1205" s="359"/>
      <c r="H1205" s="359">
        <v>142</v>
      </c>
      <c r="I1205" s="359"/>
      <c r="J1205" s="360"/>
    </row>
    <row r="1206" spans="1:20" s="354" customFormat="1" ht="15" customHeight="1">
      <c r="A1206" s="1557"/>
      <c r="B1206" s="1560"/>
      <c r="C1206" s="1563"/>
      <c r="D1206" s="1566"/>
      <c r="E1206" s="410" t="s">
        <v>375</v>
      </c>
      <c r="F1206" s="359">
        <f t="shared" si="96"/>
        <v>8</v>
      </c>
      <c r="G1206" s="359"/>
      <c r="H1206" s="359"/>
      <c r="I1206" s="359">
        <v>8</v>
      </c>
      <c r="J1206" s="360"/>
    </row>
    <row r="1207" spans="1:20" s="354" customFormat="1" ht="15" customHeight="1">
      <c r="A1207" s="1557"/>
      <c r="B1207" s="1560"/>
      <c r="C1207" s="1563"/>
      <c r="D1207" s="1566"/>
      <c r="E1207" s="410" t="s">
        <v>397</v>
      </c>
      <c r="F1207" s="359">
        <f t="shared" si="96"/>
        <v>525298</v>
      </c>
      <c r="G1207" s="359"/>
      <c r="H1207" s="359">
        <v>525298</v>
      </c>
      <c r="I1207" s="359"/>
      <c r="J1207" s="360"/>
    </row>
    <row r="1208" spans="1:20" s="354" customFormat="1" ht="15" customHeight="1">
      <c r="A1208" s="1557"/>
      <c r="B1208" s="1560"/>
      <c r="C1208" s="1563"/>
      <c r="D1208" s="1566"/>
      <c r="E1208" s="410" t="s">
        <v>342</v>
      </c>
      <c r="F1208" s="359">
        <f t="shared" si="96"/>
        <v>30853</v>
      </c>
      <c r="G1208" s="359"/>
      <c r="H1208" s="359"/>
      <c r="I1208" s="359">
        <v>30853</v>
      </c>
      <c r="J1208" s="360"/>
    </row>
    <row r="1209" spans="1:20" s="354" customFormat="1" ht="15" customHeight="1">
      <c r="A1209" s="1557"/>
      <c r="B1209" s="1560"/>
      <c r="C1209" s="1563"/>
      <c r="D1209" s="1566"/>
      <c r="E1209" s="410" t="s">
        <v>432</v>
      </c>
      <c r="F1209" s="359">
        <f t="shared" si="96"/>
        <v>1700</v>
      </c>
      <c r="G1209" s="359"/>
      <c r="H1209" s="359">
        <v>1700</v>
      </c>
      <c r="I1209" s="359"/>
      <c r="J1209" s="360"/>
    </row>
    <row r="1210" spans="1:20" s="354" customFormat="1" ht="15" customHeight="1">
      <c r="A1210" s="1557"/>
      <c r="B1210" s="1560"/>
      <c r="C1210" s="1563"/>
      <c r="D1210" s="1566"/>
      <c r="E1210" s="410" t="s">
        <v>433</v>
      </c>
      <c r="F1210" s="359">
        <f t="shared" si="96"/>
        <v>100</v>
      </c>
      <c r="G1210" s="359"/>
      <c r="H1210" s="359"/>
      <c r="I1210" s="359">
        <v>100</v>
      </c>
      <c r="J1210" s="360"/>
    </row>
    <row r="1211" spans="1:20" s="354" customFormat="1" ht="15" customHeight="1">
      <c r="A1211" s="1557"/>
      <c r="B1211" s="1560"/>
      <c r="C1211" s="1563"/>
      <c r="D1211" s="1566"/>
      <c r="E1211" s="410" t="s">
        <v>400</v>
      </c>
      <c r="F1211" s="359">
        <f t="shared" si="96"/>
        <v>2361</v>
      </c>
      <c r="G1211" s="359"/>
      <c r="H1211" s="359">
        <v>2361</v>
      </c>
      <c r="I1211" s="359"/>
      <c r="J1211" s="360"/>
    </row>
    <row r="1212" spans="1:20" s="354" customFormat="1" ht="15" customHeight="1">
      <c r="A1212" s="1557"/>
      <c r="B1212" s="1560"/>
      <c r="C1212" s="1563"/>
      <c r="D1212" s="1566"/>
      <c r="E1212" s="410" t="s">
        <v>346</v>
      </c>
      <c r="F1212" s="359">
        <f t="shared" si="96"/>
        <v>139</v>
      </c>
      <c r="G1212" s="359"/>
      <c r="H1212" s="359"/>
      <c r="I1212" s="359">
        <v>139</v>
      </c>
      <c r="J1212" s="360"/>
    </row>
    <row r="1213" spans="1:20" s="106" customFormat="1" ht="19.5" customHeight="1">
      <c r="A1213" s="1558"/>
      <c r="B1213" s="1561"/>
      <c r="C1213" s="1564"/>
      <c r="D1213" s="1567"/>
      <c r="E1213" s="361" t="s">
        <v>318</v>
      </c>
      <c r="F1213" s="356">
        <f>SUM(F1214:F1215)</f>
        <v>0</v>
      </c>
      <c r="G1213" s="356">
        <f>SUM(G1214:G1215)</f>
        <v>0</v>
      </c>
      <c r="H1213" s="356">
        <f>SUM(H1214:H1215)</f>
        <v>0</v>
      </c>
      <c r="I1213" s="356">
        <f>SUM(I1214:I1215)</f>
        <v>0</v>
      </c>
      <c r="J1213" s="357">
        <f>SUM(J1214:J1215)</f>
        <v>0</v>
      </c>
    </row>
    <row r="1214" spans="1:20" s="106" customFormat="1" ht="15" hidden="1" customHeight="1">
      <c r="A1214" s="406"/>
      <c r="B1214" s="407"/>
      <c r="C1214" s="408"/>
      <c r="D1214" s="409"/>
      <c r="E1214" s="401"/>
      <c r="F1214" s="402">
        <f>SUM(G1214:J1214)</f>
        <v>0</v>
      </c>
      <c r="G1214" s="402"/>
      <c r="H1214" s="402"/>
      <c r="I1214" s="402"/>
      <c r="J1214" s="403"/>
    </row>
    <row r="1215" spans="1:20" s="106" customFormat="1" ht="15" hidden="1" customHeight="1">
      <c r="A1215" s="397"/>
      <c r="B1215" s="398"/>
      <c r="C1215" s="399"/>
      <c r="D1215" s="400"/>
      <c r="E1215" s="396"/>
      <c r="F1215" s="359">
        <f>SUM(G1215:J1215)</f>
        <v>0</v>
      </c>
      <c r="G1215" s="359"/>
      <c r="H1215" s="359"/>
      <c r="I1215" s="359"/>
      <c r="J1215" s="360"/>
    </row>
    <row r="1216" spans="1:20" s="106" customFormat="1" ht="24.95" customHeight="1">
      <c r="A1216" s="419" t="s">
        <v>534</v>
      </c>
      <c r="B1216" s="1574" t="s">
        <v>535</v>
      </c>
      <c r="C1216" s="1575"/>
      <c r="D1216" s="1575"/>
      <c r="E1216" s="1576"/>
      <c r="F1216" s="420">
        <f>F1218</f>
        <v>249116</v>
      </c>
      <c r="G1216" s="420">
        <f>G1218</f>
        <v>24911</v>
      </c>
      <c r="H1216" s="420">
        <f t="shared" ref="H1216:J1216" si="97">H1218</f>
        <v>211749</v>
      </c>
      <c r="I1216" s="420">
        <f t="shared" si="97"/>
        <v>12456</v>
      </c>
      <c r="J1216" s="421">
        <f t="shared" si="97"/>
        <v>0</v>
      </c>
      <c r="K1216" s="371"/>
      <c r="L1216" s="371"/>
      <c r="M1216" s="371"/>
      <c r="N1216" s="371"/>
      <c r="O1216" s="371"/>
      <c r="P1216" s="371"/>
      <c r="Q1216" s="371"/>
      <c r="R1216" s="371"/>
      <c r="S1216" s="371"/>
      <c r="T1216" s="371"/>
    </row>
    <row r="1217" spans="1:15" s="106" customFormat="1" ht="15" customHeight="1">
      <c r="A1217" s="1577"/>
      <c r="B1217" s="1578"/>
      <c r="C1217" s="1578"/>
      <c r="D1217" s="1578"/>
      <c r="E1217" s="1578"/>
      <c r="F1217" s="1578"/>
      <c r="G1217" s="1578"/>
      <c r="H1217" s="1578"/>
      <c r="I1217" s="1578"/>
      <c r="J1217" s="1579"/>
      <c r="K1217" s="371"/>
      <c r="L1217" s="371"/>
      <c r="M1217" s="371"/>
      <c r="N1217" s="371"/>
      <c r="O1217" s="371"/>
    </row>
    <row r="1218" spans="1:15" s="106" customFormat="1" ht="24.95" customHeight="1">
      <c r="A1218" s="1556" t="s">
        <v>313</v>
      </c>
      <c r="B1218" s="1559" t="s">
        <v>536</v>
      </c>
      <c r="C1218" s="1562">
        <v>801</v>
      </c>
      <c r="D1218" s="1565" t="s">
        <v>537</v>
      </c>
      <c r="E1218" s="350" t="s">
        <v>315</v>
      </c>
      <c r="F1218" s="351">
        <f>SUM(F1219,F1244)</f>
        <v>249116</v>
      </c>
      <c r="G1218" s="351">
        <f>SUM(G1219,G1244)</f>
        <v>24911</v>
      </c>
      <c r="H1218" s="351">
        <f>SUM(H1219,H1244)</f>
        <v>211749</v>
      </c>
      <c r="I1218" s="351">
        <f>SUM(I1219,I1244)</f>
        <v>12456</v>
      </c>
      <c r="J1218" s="352">
        <f>SUM(J1219,J1244)</f>
        <v>0</v>
      </c>
      <c r="K1218" s="371"/>
      <c r="L1218" s="371"/>
      <c r="M1218" s="371"/>
      <c r="N1218" s="371"/>
      <c r="O1218" s="371"/>
    </row>
    <row r="1219" spans="1:15" s="106" customFormat="1" ht="24.95" customHeight="1">
      <c r="A1219" s="1557"/>
      <c r="B1219" s="1560"/>
      <c r="C1219" s="1563"/>
      <c r="D1219" s="1566"/>
      <c r="E1219" s="355" t="s">
        <v>332</v>
      </c>
      <c r="F1219" s="356">
        <f>SUM(F1220,F1229)</f>
        <v>197116</v>
      </c>
      <c r="G1219" s="356">
        <f>SUM(G1220,G1229)</f>
        <v>19711</v>
      </c>
      <c r="H1219" s="356">
        <f>SUM(H1220,H1229)</f>
        <v>167549</v>
      </c>
      <c r="I1219" s="356">
        <f>SUM(I1220,I1229)</f>
        <v>9856</v>
      </c>
      <c r="J1219" s="357">
        <f>SUM(J1220,J1229)</f>
        <v>0</v>
      </c>
      <c r="K1219" s="371"/>
      <c r="L1219" s="371"/>
      <c r="M1219" s="371"/>
      <c r="N1219" s="371"/>
      <c r="O1219" s="371"/>
    </row>
    <row r="1220" spans="1:15" s="106" customFormat="1" ht="24.95" customHeight="1">
      <c r="A1220" s="1557"/>
      <c r="B1220" s="1560"/>
      <c r="C1220" s="1563"/>
      <c r="D1220" s="1566"/>
      <c r="E1220" s="393" t="s">
        <v>333</v>
      </c>
      <c r="F1220" s="394">
        <f>SUM(F1221:F1228)</f>
        <v>25422</v>
      </c>
      <c r="G1220" s="394">
        <f>SUM(G1221:G1228)</f>
        <v>2542</v>
      </c>
      <c r="H1220" s="394">
        <f>SUM(H1221:H1228)</f>
        <v>21609</v>
      </c>
      <c r="I1220" s="394">
        <f>SUM(I1221:I1228)</f>
        <v>1271</v>
      </c>
      <c r="J1220" s="395">
        <f>SUM(J1221:J1228)</f>
        <v>0</v>
      </c>
      <c r="K1220" s="371"/>
      <c r="L1220" s="371"/>
      <c r="M1220" s="371"/>
      <c r="N1220" s="371"/>
      <c r="O1220" s="371"/>
    </row>
    <row r="1221" spans="1:15" s="106" customFormat="1" ht="15" customHeight="1">
      <c r="A1221" s="1557"/>
      <c r="B1221" s="1560"/>
      <c r="C1221" s="1563"/>
      <c r="D1221" s="1566"/>
      <c r="E1221" s="358" t="s">
        <v>391</v>
      </c>
      <c r="F1221" s="359">
        <f>SUM(G1221:J1221)</f>
        <v>18062</v>
      </c>
      <c r="G1221" s="359"/>
      <c r="H1221" s="359">
        <v>18062</v>
      </c>
      <c r="I1221" s="359"/>
      <c r="J1221" s="360"/>
      <c r="K1221" s="371"/>
      <c r="L1221" s="371"/>
      <c r="M1221" s="371"/>
      <c r="N1221" s="371"/>
      <c r="O1221" s="371"/>
    </row>
    <row r="1222" spans="1:15" s="106" customFormat="1" ht="15" customHeight="1">
      <c r="A1222" s="1557"/>
      <c r="B1222" s="1560"/>
      <c r="C1222" s="1563"/>
      <c r="D1222" s="1566"/>
      <c r="E1222" s="358" t="s">
        <v>363</v>
      </c>
      <c r="F1222" s="359">
        <f>SUM(G1222:J1222)</f>
        <v>3187</v>
      </c>
      <c r="G1222" s="359">
        <v>2124</v>
      </c>
      <c r="H1222" s="359"/>
      <c r="I1222" s="359">
        <v>1063</v>
      </c>
      <c r="J1222" s="360"/>
      <c r="K1222" s="371"/>
      <c r="L1222" s="371"/>
      <c r="M1222" s="371"/>
      <c r="N1222" s="371"/>
      <c r="O1222" s="371"/>
    </row>
    <row r="1223" spans="1:15" s="106" customFormat="1" ht="15" customHeight="1">
      <c r="A1223" s="1557"/>
      <c r="B1223" s="1560"/>
      <c r="C1223" s="1563"/>
      <c r="D1223" s="1566"/>
      <c r="E1223" s="358" t="s">
        <v>393</v>
      </c>
      <c r="F1223" s="359">
        <f>SUM(G1223:J1223)</f>
        <v>3105</v>
      </c>
      <c r="G1223" s="359"/>
      <c r="H1223" s="359">
        <v>3105</v>
      </c>
      <c r="I1223" s="359"/>
      <c r="J1223" s="360"/>
      <c r="K1223" s="371"/>
      <c r="L1223" s="371"/>
      <c r="M1223" s="371"/>
      <c r="N1223" s="371"/>
      <c r="O1223" s="371"/>
    </row>
    <row r="1224" spans="1:15" s="106" customFormat="1" ht="15" customHeight="1">
      <c r="A1224" s="1557"/>
      <c r="B1224" s="1560"/>
      <c r="C1224" s="1563"/>
      <c r="D1224" s="1566"/>
      <c r="E1224" s="358" t="s">
        <v>335</v>
      </c>
      <c r="F1224" s="359">
        <f>SUM(G1224:J1224)</f>
        <v>548</v>
      </c>
      <c r="G1224" s="359">
        <v>366</v>
      </c>
      <c r="H1224" s="359"/>
      <c r="I1224" s="359">
        <v>182</v>
      </c>
      <c r="J1224" s="360"/>
      <c r="K1224" s="371"/>
      <c r="L1224" s="371"/>
      <c r="M1224" s="371"/>
      <c r="N1224" s="371"/>
      <c r="O1224" s="371"/>
    </row>
    <row r="1225" spans="1:15" s="106" customFormat="1" ht="15" customHeight="1">
      <c r="A1225" s="1557"/>
      <c r="B1225" s="1560"/>
      <c r="C1225" s="1563"/>
      <c r="D1225" s="1566"/>
      <c r="E1225" s="358" t="s">
        <v>394</v>
      </c>
      <c r="F1225" s="359">
        <f t="shared" ref="F1225:F1227" si="98">SUM(G1225:J1225)</f>
        <v>442</v>
      </c>
      <c r="G1225" s="359"/>
      <c r="H1225" s="359">
        <v>442</v>
      </c>
      <c r="I1225" s="359"/>
      <c r="J1225" s="360"/>
      <c r="K1225" s="371"/>
      <c r="L1225" s="371"/>
      <c r="M1225" s="371"/>
      <c r="N1225" s="371"/>
      <c r="O1225" s="371"/>
    </row>
    <row r="1226" spans="1:15" s="106" customFormat="1" ht="15" customHeight="1">
      <c r="A1226" s="1557"/>
      <c r="B1226" s="1560"/>
      <c r="C1226" s="1563"/>
      <c r="D1226" s="1566"/>
      <c r="E1226" s="358" t="s">
        <v>367</v>
      </c>
      <c r="F1226" s="359">
        <f t="shared" si="98"/>
        <v>78</v>
      </c>
      <c r="G1226" s="359">
        <v>52</v>
      </c>
      <c r="H1226" s="359"/>
      <c r="I1226" s="359">
        <v>26</v>
      </c>
      <c r="J1226" s="360"/>
      <c r="K1226" s="371"/>
      <c r="L1226" s="371"/>
      <c r="M1226" s="371"/>
      <c r="N1226" s="371"/>
      <c r="O1226" s="371"/>
    </row>
    <row r="1227" spans="1:15" s="106" customFormat="1" ht="15" hidden="1" customHeight="1">
      <c r="A1227" s="1557"/>
      <c r="B1227" s="1560"/>
      <c r="C1227" s="1563"/>
      <c r="D1227" s="1566"/>
      <c r="E1227" s="358" t="s">
        <v>395</v>
      </c>
      <c r="F1227" s="359">
        <f t="shared" si="98"/>
        <v>0</v>
      </c>
      <c r="G1227" s="359"/>
      <c r="H1227" s="359"/>
      <c r="I1227" s="359"/>
      <c r="J1227" s="360"/>
      <c r="K1227" s="371"/>
      <c r="L1227" s="371"/>
      <c r="M1227" s="371"/>
      <c r="N1227" s="371"/>
      <c r="O1227" s="371"/>
    </row>
    <row r="1228" spans="1:15" s="106" customFormat="1" ht="15" hidden="1" customHeight="1">
      <c r="A1228" s="1557"/>
      <c r="B1228" s="1560"/>
      <c r="C1228" s="1563"/>
      <c r="D1228" s="1566"/>
      <c r="E1228" s="358" t="s">
        <v>337</v>
      </c>
      <c r="F1228" s="359">
        <f>SUM(G1228:J1228)</f>
        <v>0</v>
      </c>
      <c r="G1228" s="359"/>
      <c r="H1228" s="359"/>
      <c r="I1228" s="359"/>
      <c r="J1228" s="360"/>
      <c r="K1228" s="371"/>
      <c r="L1228" s="371"/>
      <c r="M1228" s="371"/>
      <c r="N1228" s="371"/>
      <c r="O1228" s="371"/>
    </row>
    <row r="1229" spans="1:15" s="106" customFormat="1" ht="24.95" customHeight="1">
      <c r="A1229" s="1557"/>
      <c r="B1229" s="1560"/>
      <c r="C1229" s="1563"/>
      <c r="D1229" s="1566"/>
      <c r="E1229" s="393" t="s">
        <v>338</v>
      </c>
      <c r="F1229" s="394">
        <f>SUM(F1230:F1243)</f>
        <v>171694</v>
      </c>
      <c r="G1229" s="394">
        <f>SUM(G1230:G1243)</f>
        <v>17169</v>
      </c>
      <c r="H1229" s="394">
        <f>SUM(H1230:H1243)</f>
        <v>145940</v>
      </c>
      <c r="I1229" s="394">
        <f>SUM(I1230:I1243)</f>
        <v>8585</v>
      </c>
      <c r="J1229" s="395">
        <f>SUM(J1230:J1243)</f>
        <v>0</v>
      </c>
      <c r="K1229" s="371"/>
      <c r="L1229" s="371"/>
      <c r="M1229" s="371"/>
      <c r="N1229" s="371"/>
      <c r="O1229" s="371"/>
    </row>
    <row r="1230" spans="1:15" s="106" customFormat="1" ht="15" customHeight="1">
      <c r="A1230" s="1557"/>
      <c r="B1230" s="1560"/>
      <c r="C1230" s="1563"/>
      <c r="D1230" s="1566"/>
      <c r="E1230" s="358" t="s">
        <v>429</v>
      </c>
      <c r="F1230" s="359">
        <f t="shared" ref="F1230:F1243" si="99">SUM(G1230:J1230)</f>
        <v>27129</v>
      </c>
      <c r="G1230" s="359"/>
      <c r="H1230" s="359">
        <v>27129</v>
      </c>
      <c r="I1230" s="359"/>
      <c r="J1230" s="360"/>
      <c r="K1230" s="371"/>
      <c r="L1230" s="371"/>
      <c r="M1230" s="371"/>
      <c r="N1230" s="371"/>
      <c r="O1230" s="371"/>
    </row>
    <row r="1231" spans="1:15" s="106" customFormat="1" ht="15" customHeight="1">
      <c r="A1231" s="1557"/>
      <c r="B1231" s="1560"/>
      <c r="C1231" s="1563"/>
      <c r="D1231" s="1566"/>
      <c r="E1231" s="358" t="s">
        <v>430</v>
      </c>
      <c r="F1231" s="359">
        <f t="shared" si="99"/>
        <v>4788</v>
      </c>
      <c r="G1231" s="359">
        <v>3192</v>
      </c>
      <c r="H1231" s="359"/>
      <c r="I1231" s="359">
        <v>1596</v>
      </c>
      <c r="J1231" s="360"/>
      <c r="K1231" s="371"/>
      <c r="L1231" s="371"/>
      <c r="M1231" s="371"/>
      <c r="N1231" s="371"/>
      <c r="O1231" s="371"/>
    </row>
    <row r="1232" spans="1:15" s="106" customFormat="1" ht="15" customHeight="1">
      <c r="A1232" s="1557"/>
      <c r="B1232" s="1560"/>
      <c r="C1232" s="1563"/>
      <c r="D1232" s="1566"/>
      <c r="E1232" s="358" t="s">
        <v>396</v>
      </c>
      <c r="F1232" s="359">
        <f t="shared" si="99"/>
        <v>887</v>
      </c>
      <c r="G1232" s="359"/>
      <c r="H1232" s="359">
        <v>887</v>
      </c>
      <c r="I1232" s="359"/>
      <c r="J1232" s="360"/>
      <c r="K1232" s="371"/>
      <c r="L1232" s="371"/>
      <c r="M1232" s="371"/>
      <c r="N1232" s="371"/>
      <c r="O1232" s="371"/>
    </row>
    <row r="1233" spans="1:15" s="106" customFormat="1" ht="15" customHeight="1">
      <c r="A1233" s="1557"/>
      <c r="B1233" s="1560"/>
      <c r="C1233" s="1563"/>
      <c r="D1233" s="1566"/>
      <c r="E1233" s="358" t="s">
        <v>340</v>
      </c>
      <c r="F1233" s="359">
        <f t="shared" si="99"/>
        <v>156</v>
      </c>
      <c r="G1233" s="359">
        <v>104</v>
      </c>
      <c r="H1233" s="359"/>
      <c r="I1233" s="359">
        <v>52</v>
      </c>
      <c r="J1233" s="360"/>
      <c r="K1233" s="371"/>
      <c r="L1233" s="371"/>
      <c r="M1233" s="371"/>
      <c r="N1233" s="371"/>
      <c r="O1233" s="371"/>
    </row>
    <row r="1234" spans="1:15" s="106" customFormat="1" ht="15" customHeight="1">
      <c r="A1234" s="1557"/>
      <c r="B1234" s="1560"/>
      <c r="C1234" s="1563"/>
      <c r="D1234" s="1566"/>
      <c r="E1234" s="358" t="s">
        <v>538</v>
      </c>
      <c r="F1234" s="359">
        <f t="shared" si="99"/>
        <v>46924</v>
      </c>
      <c r="G1234" s="359"/>
      <c r="H1234" s="359">
        <v>46924</v>
      </c>
      <c r="I1234" s="359"/>
      <c r="J1234" s="360"/>
      <c r="K1234" s="371"/>
      <c r="L1234" s="371"/>
      <c r="M1234" s="371"/>
      <c r="N1234" s="371"/>
      <c r="O1234" s="371"/>
    </row>
    <row r="1235" spans="1:15" s="106" customFormat="1" ht="15" customHeight="1">
      <c r="A1235" s="1557"/>
      <c r="B1235" s="1560"/>
      <c r="C1235" s="1563"/>
      <c r="D1235" s="1566"/>
      <c r="E1235" s="358" t="s">
        <v>539</v>
      </c>
      <c r="F1235" s="359">
        <f t="shared" si="99"/>
        <v>8281</v>
      </c>
      <c r="G1235" s="359">
        <v>5520</v>
      </c>
      <c r="H1235" s="359"/>
      <c r="I1235" s="359">
        <v>2761</v>
      </c>
      <c r="J1235" s="360"/>
      <c r="K1235" s="371"/>
      <c r="L1235" s="371"/>
      <c r="M1235" s="371"/>
      <c r="N1235" s="371"/>
      <c r="O1235" s="371"/>
    </row>
    <row r="1236" spans="1:15" s="106" customFormat="1" ht="15" customHeight="1">
      <c r="A1236" s="1557"/>
      <c r="B1236" s="1560"/>
      <c r="C1236" s="1563"/>
      <c r="D1236" s="1566"/>
      <c r="E1236" s="358" t="s">
        <v>431</v>
      </c>
      <c r="F1236" s="359">
        <f t="shared" si="99"/>
        <v>295</v>
      </c>
      <c r="G1236" s="359"/>
      <c r="H1236" s="359">
        <v>295</v>
      </c>
      <c r="I1236" s="359"/>
      <c r="J1236" s="360"/>
      <c r="K1236" s="371"/>
      <c r="L1236" s="371"/>
      <c r="M1236" s="371"/>
      <c r="N1236" s="371"/>
      <c r="O1236" s="371"/>
    </row>
    <row r="1237" spans="1:15" s="106" customFormat="1" ht="15" customHeight="1">
      <c r="A1237" s="1557"/>
      <c r="B1237" s="1560"/>
      <c r="C1237" s="1563"/>
      <c r="D1237" s="1566"/>
      <c r="E1237" s="358" t="s">
        <v>373</v>
      </c>
      <c r="F1237" s="359">
        <f t="shared" si="99"/>
        <v>52</v>
      </c>
      <c r="G1237" s="359">
        <v>35</v>
      </c>
      <c r="H1237" s="359"/>
      <c r="I1237" s="359">
        <v>17</v>
      </c>
      <c r="J1237" s="360"/>
      <c r="K1237" s="371"/>
      <c r="L1237" s="371"/>
      <c r="M1237" s="371"/>
      <c r="N1237" s="371"/>
      <c r="O1237" s="371"/>
    </row>
    <row r="1238" spans="1:15" s="106" customFormat="1" ht="15" customHeight="1">
      <c r="A1238" s="1557"/>
      <c r="B1238" s="1560"/>
      <c r="C1238" s="1563"/>
      <c r="D1238" s="1566"/>
      <c r="E1238" s="358" t="s">
        <v>397</v>
      </c>
      <c r="F1238" s="359">
        <f t="shared" si="99"/>
        <v>38384</v>
      </c>
      <c r="G1238" s="359"/>
      <c r="H1238" s="359">
        <v>38384</v>
      </c>
      <c r="I1238" s="359"/>
      <c r="J1238" s="360"/>
      <c r="K1238" s="371"/>
      <c r="L1238" s="371"/>
      <c r="M1238" s="371"/>
      <c r="N1238" s="371"/>
      <c r="O1238" s="371"/>
    </row>
    <row r="1239" spans="1:15" s="106" customFormat="1" ht="15" customHeight="1">
      <c r="A1239" s="1557"/>
      <c r="B1239" s="1560"/>
      <c r="C1239" s="1563"/>
      <c r="D1239" s="1566"/>
      <c r="E1239" s="358" t="s">
        <v>342</v>
      </c>
      <c r="F1239" s="359">
        <f t="shared" si="99"/>
        <v>6774</v>
      </c>
      <c r="G1239" s="359">
        <v>4516</v>
      </c>
      <c r="H1239" s="359"/>
      <c r="I1239" s="359">
        <v>2258</v>
      </c>
      <c r="J1239" s="360"/>
      <c r="K1239" s="371"/>
      <c r="L1239" s="371"/>
      <c r="M1239" s="371"/>
      <c r="N1239" s="371"/>
      <c r="O1239" s="371"/>
    </row>
    <row r="1240" spans="1:15" s="106" customFormat="1" ht="15" customHeight="1">
      <c r="A1240" s="1557"/>
      <c r="B1240" s="1560"/>
      <c r="C1240" s="1563"/>
      <c r="D1240" s="1566"/>
      <c r="E1240" s="358" t="s">
        <v>432</v>
      </c>
      <c r="F1240" s="359">
        <f t="shared" si="99"/>
        <v>148</v>
      </c>
      <c r="G1240" s="359"/>
      <c r="H1240" s="359">
        <v>148</v>
      </c>
      <c r="I1240" s="359"/>
      <c r="J1240" s="360"/>
      <c r="K1240" s="371"/>
      <c r="L1240" s="371"/>
      <c r="M1240" s="371"/>
      <c r="N1240" s="371"/>
      <c r="O1240" s="371"/>
    </row>
    <row r="1241" spans="1:15" s="106" customFormat="1" ht="15" customHeight="1">
      <c r="A1241" s="1557"/>
      <c r="B1241" s="1560"/>
      <c r="C1241" s="1563"/>
      <c r="D1241" s="1566"/>
      <c r="E1241" s="358" t="s">
        <v>433</v>
      </c>
      <c r="F1241" s="359">
        <f t="shared" si="99"/>
        <v>26</v>
      </c>
      <c r="G1241" s="359">
        <v>17</v>
      </c>
      <c r="H1241" s="359"/>
      <c r="I1241" s="359">
        <v>9</v>
      </c>
      <c r="J1241" s="360"/>
      <c r="K1241" s="371"/>
      <c r="L1241" s="371"/>
      <c r="M1241" s="371"/>
      <c r="N1241" s="371"/>
      <c r="O1241" s="371"/>
    </row>
    <row r="1242" spans="1:15" s="106" customFormat="1" ht="15" customHeight="1">
      <c r="A1242" s="1557"/>
      <c r="B1242" s="1560"/>
      <c r="C1242" s="1563"/>
      <c r="D1242" s="1566"/>
      <c r="E1242" s="358" t="s">
        <v>403</v>
      </c>
      <c r="F1242" s="359">
        <f t="shared" si="99"/>
        <v>32173</v>
      </c>
      <c r="G1242" s="359"/>
      <c r="H1242" s="359">
        <v>32173</v>
      </c>
      <c r="I1242" s="359"/>
      <c r="J1242" s="360"/>
      <c r="K1242" s="371"/>
    </row>
    <row r="1243" spans="1:15" s="106" customFormat="1" ht="15" customHeight="1">
      <c r="A1243" s="1557"/>
      <c r="B1243" s="1560"/>
      <c r="C1243" s="1563"/>
      <c r="D1243" s="1566"/>
      <c r="E1243" s="358" t="s">
        <v>379</v>
      </c>
      <c r="F1243" s="359">
        <f t="shared" si="99"/>
        <v>5677</v>
      </c>
      <c r="G1243" s="359">
        <v>3785</v>
      </c>
      <c r="H1243" s="359"/>
      <c r="I1243" s="359">
        <v>1892</v>
      </c>
      <c r="J1243" s="360"/>
      <c r="K1243" s="371"/>
    </row>
    <row r="1244" spans="1:15" s="106" customFormat="1" ht="24.95" customHeight="1">
      <c r="A1244" s="1557"/>
      <c r="B1244" s="1560"/>
      <c r="C1244" s="1563"/>
      <c r="D1244" s="1566"/>
      <c r="E1244" s="361" t="s">
        <v>318</v>
      </c>
      <c r="F1244" s="356">
        <f>SUM(F1245:F1246)</f>
        <v>52000</v>
      </c>
      <c r="G1244" s="356">
        <f>SUM(G1245:G1246)</f>
        <v>5200</v>
      </c>
      <c r="H1244" s="356">
        <f>SUM(H1245:H1246)</f>
        <v>44200</v>
      </c>
      <c r="I1244" s="356">
        <f>SUM(I1245:I1246)</f>
        <v>2600</v>
      </c>
      <c r="J1244" s="357">
        <f>SUM(J1245:J1246)</f>
        <v>0</v>
      </c>
      <c r="K1244" s="371"/>
    </row>
    <row r="1245" spans="1:15" s="106" customFormat="1" ht="15" customHeight="1">
      <c r="A1245" s="1557"/>
      <c r="B1245" s="1560"/>
      <c r="C1245" s="1563"/>
      <c r="D1245" s="1566"/>
      <c r="E1245" s="358" t="s">
        <v>408</v>
      </c>
      <c r="F1245" s="359">
        <f>SUM(G1245:J1245)</f>
        <v>44200</v>
      </c>
      <c r="G1245" s="359"/>
      <c r="H1245" s="359">
        <v>44200</v>
      </c>
      <c r="I1245" s="359"/>
      <c r="J1245" s="360"/>
      <c r="K1245" s="371"/>
    </row>
    <row r="1246" spans="1:15" s="106" customFormat="1" ht="15" customHeight="1">
      <c r="A1246" s="1558"/>
      <c r="B1246" s="1561"/>
      <c r="C1246" s="1564"/>
      <c r="D1246" s="1567"/>
      <c r="E1246" s="396">
        <v>6069</v>
      </c>
      <c r="F1246" s="359">
        <f>SUM(G1246:J1246)</f>
        <v>7800</v>
      </c>
      <c r="G1246" s="359">
        <v>5200</v>
      </c>
      <c r="H1246" s="359"/>
      <c r="I1246" s="359">
        <v>2600</v>
      </c>
      <c r="J1246" s="360"/>
      <c r="K1246" s="371"/>
    </row>
    <row r="1247" spans="1:15" s="106" customFormat="1" ht="24.95" customHeight="1">
      <c r="A1247" s="419" t="s">
        <v>540</v>
      </c>
      <c r="B1247" s="1574" t="s">
        <v>541</v>
      </c>
      <c r="C1247" s="1575"/>
      <c r="D1247" s="1575"/>
      <c r="E1247" s="1576"/>
      <c r="F1247" s="420">
        <f>F1249</f>
        <v>270300</v>
      </c>
      <c r="G1247" s="420">
        <f>G1249</f>
        <v>27031</v>
      </c>
      <c r="H1247" s="420">
        <f t="shared" ref="H1247:J1247" si="100">H1249</f>
        <v>229754</v>
      </c>
      <c r="I1247" s="420">
        <f t="shared" si="100"/>
        <v>13515</v>
      </c>
      <c r="J1247" s="421">
        <f t="shared" si="100"/>
        <v>0</v>
      </c>
    </row>
    <row r="1248" spans="1:15" s="106" customFormat="1" ht="15" customHeight="1">
      <c r="A1248" s="1577"/>
      <c r="B1248" s="1578"/>
      <c r="C1248" s="1578"/>
      <c r="D1248" s="1578"/>
      <c r="E1248" s="1578"/>
      <c r="F1248" s="1578"/>
      <c r="G1248" s="1578"/>
      <c r="H1248" s="1578"/>
      <c r="I1248" s="1578"/>
      <c r="J1248" s="1579"/>
    </row>
    <row r="1249" spans="1:10" s="106" customFormat="1" ht="24.95" customHeight="1">
      <c r="A1249" s="1556" t="s">
        <v>313</v>
      </c>
      <c r="B1249" s="1559" t="s">
        <v>536</v>
      </c>
      <c r="C1249" s="1562">
        <v>801</v>
      </c>
      <c r="D1249" s="1565" t="s">
        <v>537</v>
      </c>
      <c r="E1249" s="350" t="s">
        <v>315</v>
      </c>
      <c r="F1249" s="351">
        <f>SUM(F1250,F1275)</f>
        <v>270300</v>
      </c>
      <c r="G1249" s="351">
        <f>SUM(G1250,G1275)</f>
        <v>27031</v>
      </c>
      <c r="H1249" s="351">
        <f>SUM(H1250,H1275)</f>
        <v>229754</v>
      </c>
      <c r="I1249" s="351">
        <f>SUM(I1250,I1275)</f>
        <v>13515</v>
      </c>
      <c r="J1249" s="352">
        <f>SUM(J1250,J1275)</f>
        <v>0</v>
      </c>
    </row>
    <row r="1250" spans="1:10" s="106" customFormat="1" ht="24.95" customHeight="1">
      <c r="A1250" s="1557"/>
      <c r="B1250" s="1560"/>
      <c r="C1250" s="1563"/>
      <c r="D1250" s="1566"/>
      <c r="E1250" s="355" t="s">
        <v>332</v>
      </c>
      <c r="F1250" s="356">
        <f>SUM(F1251,F1260)</f>
        <v>243233</v>
      </c>
      <c r="G1250" s="356">
        <f>SUM(G1251,G1260)</f>
        <v>24324</v>
      </c>
      <c r="H1250" s="356">
        <f>SUM(H1251,H1260)</f>
        <v>206748</v>
      </c>
      <c r="I1250" s="356">
        <f>SUM(I1251,I1260)</f>
        <v>12161</v>
      </c>
      <c r="J1250" s="357">
        <f>SUM(J1251,J1260)</f>
        <v>0</v>
      </c>
    </row>
    <row r="1251" spans="1:10" s="106" customFormat="1" ht="24.95" customHeight="1">
      <c r="A1251" s="1557"/>
      <c r="B1251" s="1560"/>
      <c r="C1251" s="1563"/>
      <c r="D1251" s="1566"/>
      <c r="E1251" s="393" t="s">
        <v>333</v>
      </c>
      <c r="F1251" s="394">
        <f>SUM(F1252:F1259)</f>
        <v>26032</v>
      </c>
      <c r="G1251" s="394">
        <f>SUM(G1252:G1259)</f>
        <v>2603</v>
      </c>
      <c r="H1251" s="394">
        <f>SUM(H1252:H1259)</f>
        <v>22127</v>
      </c>
      <c r="I1251" s="394">
        <f>SUM(I1252:I1259)</f>
        <v>1302</v>
      </c>
      <c r="J1251" s="395">
        <f>SUM(J1252:J1259)</f>
        <v>0</v>
      </c>
    </row>
    <row r="1252" spans="1:10" s="106" customFormat="1" ht="15" customHeight="1">
      <c r="A1252" s="1557"/>
      <c r="B1252" s="1560"/>
      <c r="C1252" s="1563"/>
      <c r="D1252" s="1566"/>
      <c r="E1252" s="358" t="s">
        <v>391</v>
      </c>
      <c r="F1252" s="359">
        <f>SUM(G1252:J1252)</f>
        <v>18496</v>
      </c>
      <c r="G1252" s="359"/>
      <c r="H1252" s="359">
        <v>18496</v>
      </c>
      <c r="I1252" s="359"/>
      <c r="J1252" s="360"/>
    </row>
    <row r="1253" spans="1:10" s="106" customFormat="1" ht="15" customHeight="1">
      <c r="A1253" s="1557"/>
      <c r="B1253" s="1560"/>
      <c r="C1253" s="1563"/>
      <c r="D1253" s="1566"/>
      <c r="E1253" s="358" t="s">
        <v>363</v>
      </c>
      <c r="F1253" s="359">
        <f>SUM(G1253:J1253)</f>
        <v>3264</v>
      </c>
      <c r="G1253" s="359">
        <v>2176</v>
      </c>
      <c r="H1253" s="359"/>
      <c r="I1253" s="359">
        <v>1088</v>
      </c>
      <c r="J1253" s="360"/>
    </row>
    <row r="1254" spans="1:10" s="106" customFormat="1" ht="15" customHeight="1">
      <c r="A1254" s="1557"/>
      <c r="B1254" s="1560"/>
      <c r="C1254" s="1563"/>
      <c r="D1254" s="1566"/>
      <c r="E1254" s="358" t="s">
        <v>393</v>
      </c>
      <c r="F1254" s="359">
        <f>SUM(G1254:J1254)</f>
        <v>3180</v>
      </c>
      <c r="G1254" s="359"/>
      <c r="H1254" s="359">
        <v>3180</v>
      </c>
      <c r="I1254" s="359"/>
      <c r="J1254" s="360"/>
    </row>
    <row r="1255" spans="1:10" s="106" customFormat="1" ht="15" customHeight="1">
      <c r="A1255" s="1557"/>
      <c r="B1255" s="1560"/>
      <c r="C1255" s="1563"/>
      <c r="D1255" s="1566"/>
      <c r="E1255" s="358" t="s">
        <v>335</v>
      </c>
      <c r="F1255" s="359">
        <f>SUM(G1255:J1255)</f>
        <v>561</v>
      </c>
      <c r="G1255" s="359">
        <v>374</v>
      </c>
      <c r="H1255" s="359"/>
      <c r="I1255" s="359">
        <v>187</v>
      </c>
      <c r="J1255" s="360"/>
    </row>
    <row r="1256" spans="1:10" s="106" customFormat="1" ht="15" customHeight="1">
      <c r="A1256" s="1557"/>
      <c r="B1256" s="1560"/>
      <c r="C1256" s="1563"/>
      <c r="D1256" s="1566"/>
      <c r="E1256" s="358" t="s">
        <v>394</v>
      </c>
      <c r="F1256" s="359">
        <f t="shared" ref="F1256:F1258" si="101">SUM(G1256:J1256)</f>
        <v>451</v>
      </c>
      <c r="G1256" s="359"/>
      <c r="H1256" s="359">
        <v>451</v>
      </c>
      <c r="I1256" s="359"/>
      <c r="J1256" s="360"/>
    </row>
    <row r="1257" spans="1:10" s="106" customFormat="1" ht="15" customHeight="1">
      <c r="A1257" s="1557"/>
      <c r="B1257" s="1560"/>
      <c r="C1257" s="1563"/>
      <c r="D1257" s="1566"/>
      <c r="E1257" s="358" t="s">
        <v>367</v>
      </c>
      <c r="F1257" s="359">
        <f t="shared" si="101"/>
        <v>80</v>
      </c>
      <c r="G1257" s="359">
        <v>53</v>
      </c>
      <c r="H1257" s="359"/>
      <c r="I1257" s="359">
        <v>27</v>
      </c>
      <c r="J1257" s="360"/>
    </row>
    <row r="1258" spans="1:10" s="106" customFormat="1" ht="15" hidden="1" customHeight="1">
      <c r="A1258" s="1557"/>
      <c r="B1258" s="1560"/>
      <c r="C1258" s="1563"/>
      <c r="D1258" s="1566"/>
      <c r="E1258" s="358" t="s">
        <v>395</v>
      </c>
      <c r="F1258" s="359">
        <f t="shared" si="101"/>
        <v>0</v>
      </c>
      <c r="G1258" s="359"/>
      <c r="H1258" s="359"/>
      <c r="I1258" s="359"/>
      <c r="J1258" s="360"/>
    </row>
    <row r="1259" spans="1:10" s="106" customFormat="1" ht="15" hidden="1" customHeight="1">
      <c r="A1259" s="1557"/>
      <c r="B1259" s="1560"/>
      <c r="C1259" s="1563"/>
      <c r="D1259" s="1566"/>
      <c r="E1259" s="358" t="s">
        <v>337</v>
      </c>
      <c r="F1259" s="359">
        <f>SUM(G1259:J1259)</f>
        <v>0</v>
      </c>
      <c r="G1259" s="359"/>
      <c r="H1259" s="359"/>
      <c r="I1259" s="359"/>
      <c r="J1259" s="360"/>
    </row>
    <row r="1260" spans="1:10" s="106" customFormat="1" ht="24.95" customHeight="1">
      <c r="A1260" s="1557"/>
      <c r="B1260" s="1560"/>
      <c r="C1260" s="1563"/>
      <c r="D1260" s="1566"/>
      <c r="E1260" s="393" t="s">
        <v>338</v>
      </c>
      <c r="F1260" s="394">
        <f>SUM(F1261:F1274)</f>
        <v>217201</v>
      </c>
      <c r="G1260" s="394">
        <f>SUM(G1261:G1274)</f>
        <v>21721</v>
      </c>
      <c r="H1260" s="394">
        <f>SUM(H1261:H1274)</f>
        <v>184621</v>
      </c>
      <c r="I1260" s="394">
        <f>SUM(I1261:I1274)</f>
        <v>10859</v>
      </c>
      <c r="J1260" s="395">
        <f>SUM(J1261:J1274)</f>
        <v>0</v>
      </c>
    </row>
    <row r="1261" spans="1:10" s="106" customFormat="1" ht="15" customHeight="1">
      <c r="A1261" s="1557"/>
      <c r="B1261" s="1560"/>
      <c r="C1261" s="1563"/>
      <c r="D1261" s="1566"/>
      <c r="E1261" s="358" t="s">
        <v>429</v>
      </c>
      <c r="F1261" s="359">
        <f t="shared" ref="F1261:F1274" si="102">SUM(G1261:J1261)</f>
        <v>16956</v>
      </c>
      <c r="G1261" s="359"/>
      <c r="H1261" s="359">
        <v>16956</v>
      </c>
      <c r="I1261" s="359"/>
      <c r="J1261" s="360"/>
    </row>
    <row r="1262" spans="1:10" s="106" customFormat="1" ht="15" customHeight="1">
      <c r="A1262" s="1557"/>
      <c r="B1262" s="1560"/>
      <c r="C1262" s="1563"/>
      <c r="D1262" s="1566"/>
      <c r="E1262" s="358" t="s">
        <v>430</v>
      </c>
      <c r="F1262" s="359">
        <f t="shared" si="102"/>
        <v>2992</v>
      </c>
      <c r="G1262" s="359">
        <v>1995</v>
      </c>
      <c r="H1262" s="359"/>
      <c r="I1262" s="359">
        <v>997</v>
      </c>
      <c r="J1262" s="360"/>
    </row>
    <row r="1263" spans="1:10" s="106" customFormat="1" ht="15" customHeight="1">
      <c r="A1263" s="1557"/>
      <c r="B1263" s="1560"/>
      <c r="C1263" s="1563"/>
      <c r="D1263" s="1566"/>
      <c r="E1263" s="358" t="s">
        <v>396</v>
      </c>
      <c r="F1263" s="359">
        <f t="shared" si="102"/>
        <v>962</v>
      </c>
      <c r="G1263" s="359"/>
      <c r="H1263" s="359">
        <v>962</v>
      </c>
      <c r="I1263" s="359"/>
      <c r="J1263" s="360"/>
    </row>
    <row r="1264" spans="1:10" s="106" customFormat="1" ht="15" customHeight="1">
      <c r="A1264" s="1557"/>
      <c r="B1264" s="1560"/>
      <c r="C1264" s="1563"/>
      <c r="D1264" s="1566"/>
      <c r="E1264" s="358" t="s">
        <v>340</v>
      </c>
      <c r="F1264" s="359">
        <f t="shared" si="102"/>
        <v>170</v>
      </c>
      <c r="G1264" s="359">
        <v>113</v>
      </c>
      <c r="H1264" s="359"/>
      <c r="I1264" s="359">
        <v>57</v>
      </c>
      <c r="J1264" s="360"/>
    </row>
    <row r="1265" spans="1:10" s="106" customFormat="1" ht="15" customHeight="1">
      <c r="A1265" s="1557"/>
      <c r="B1265" s="1560"/>
      <c r="C1265" s="1563"/>
      <c r="D1265" s="1566"/>
      <c r="E1265" s="358" t="s">
        <v>538</v>
      </c>
      <c r="F1265" s="359">
        <f t="shared" si="102"/>
        <v>102659</v>
      </c>
      <c r="G1265" s="359"/>
      <c r="H1265" s="359">
        <v>102659</v>
      </c>
      <c r="I1265" s="359"/>
      <c r="J1265" s="360"/>
    </row>
    <row r="1266" spans="1:10" s="106" customFormat="1" ht="15" customHeight="1">
      <c r="A1266" s="1557"/>
      <c r="B1266" s="1560"/>
      <c r="C1266" s="1563"/>
      <c r="D1266" s="1566"/>
      <c r="E1266" s="358" t="s">
        <v>539</v>
      </c>
      <c r="F1266" s="359">
        <f t="shared" si="102"/>
        <v>18117</v>
      </c>
      <c r="G1266" s="359">
        <v>12078</v>
      </c>
      <c r="H1266" s="359"/>
      <c r="I1266" s="359">
        <v>6039</v>
      </c>
      <c r="J1266" s="360"/>
    </row>
    <row r="1267" spans="1:10" s="106" customFormat="1" ht="15" customHeight="1">
      <c r="A1267" s="1557"/>
      <c r="B1267" s="1560"/>
      <c r="C1267" s="1563"/>
      <c r="D1267" s="1566"/>
      <c r="E1267" s="358" t="s">
        <v>431</v>
      </c>
      <c r="F1267" s="359">
        <f t="shared" si="102"/>
        <v>320</v>
      </c>
      <c r="G1267" s="359"/>
      <c r="H1267" s="359">
        <v>320</v>
      </c>
      <c r="I1267" s="359"/>
      <c r="J1267" s="360"/>
    </row>
    <row r="1268" spans="1:10" s="106" customFormat="1" ht="15" customHeight="1">
      <c r="A1268" s="1557"/>
      <c r="B1268" s="1560"/>
      <c r="C1268" s="1563"/>
      <c r="D1268" s="1566"/>
      <c r="E1268" s="358" t="s">
        <v>373</v>
      </c>
      <c r="F1268" s="359">
        <f t="shared" si="102"/>
        <v>57</v>
      </c>
      <c r="G1268" s="359">
        <v>38</v>
      </c>
      <c r="H1268" s="359"/>
      <c r="I1268" s="359">
        <v>19</v>
      </c>
      <c r="J1268" s="360"/>
    </row>
    <row r="1269" spans="1:10" s="106" customFormat="1" ht="15" customHeight="1">
      <c r="A1269" s="1557"/>
      <c r="B1269" s="1560"/>
      <c r="C1269" s="1563"/>
      <c r="D1269" s="1566"/>
      <c r="E1269" s="358" t="s">
        <v>397</v>
      </c>
      <c r="F1269" s="359">
        <f t="shared" si="102"/>
        <v>23485</v>
      </c>
      <c r="G1269" s="359"/>
      <c r="H1269" s="359">
        <v>23485</v>
      </c>
      <c r="I1269" s="359"/>
      <c r="J1269" s="360"/>
    </row>
    <row r="1270" spans="1:10" s="106" customFormat="1" ht="15" customHeight="1">
      <c r="A1270" s="1557"/>
      <c r="B1270" s="1560"/>
      <c r="C1270" s="1563"/>
      <c r="D1270" s="1566"/>
      <c r="E1270" s="358" t="s">
        <v>342</v>
      </c>
      <c r="F1270" s="359">
        <f t="shared" si="102"/>
        <v>4144</v>
      </c>
      <c r="G1270" s="359">
        <v>2763</v>
      </c>
      <c r="H1270" s="359"/>
      <c r="I1270" s="359">
        <v>1381</v>
      </c>
      <c r="J1270" s="360"/>
    </row>
    <row r="1271" spans="1:10" s="106" customFormat="1" ht="15" customHeight="1">
      <c r="A1271" s="1557"/>
      <c r="B1271" s="1560"/>
      <c r="C1271" s="1563"/>
      <c r="D1271" s="1566"/>
      <c r="E1271" s="358" t="s">
        <v>432</v>
      </c>
      <c r="F1271" s="359">
        <f t="shared" si="102"/>
        <v>161</v>
      </c>
      <c r="G1271" s="359"/>
      <c r="H1271" s="359">
        <v>161</v>
      </c>
      <c r="I1271" s="359"/>
      <c r="J1271" s="360"/>
    </row>
    <row r="1272" spans="1:10" s="106" customFormat="1" ht="15" customHeight="1">
      <c r="A1272" s="1557"/>
      <c r="B1272" s="1560"/>
      <c r="C1272" s="1563"/>
      <c r="D1272" s="1566"/>
      <c r="E1272" s="358" t="s">
        <v>433</v>
      </c>
      <c r="F1272" s="359">
        <f t="shared" si="102"/>
        <v>28</v>
      </c>
      <c r="G1272" s="359">
        <v>19</v>
      </c>
      <c r="H1272" s="359"/>
      <c r="I1272" s="359">
        <v>9</v>
      </c>
      <c r="J1272" s="360"/>
    </row>
    <row r="1273" spans="1:10" s="106" customFormat="1" ht="15" customHeight="1">
      <c r="A1273" s="1557"/>
      <c r="B1273" s="1560"/>
      <c r="C1273" s="1563"/>
      <c r="D1273" s="1566"/>
      <c r="E1273" s="358" t="s">
        <v>403</v>
      </c>
      <c r="F1273" s="359">
        <f t="shared" si="102"/>
        <v>40078</v>
      </c>
      <c r="G1273" s="359"/>
      <c r="H1273" s="359">
        <v>40078</v>
      </c>
      <c r="I1273" s="359"/>
      <c r="J1273" s="360"/>
    </row>
    <row r="1274" spans="1:10" s="106" customFormat="1" ht="15" customHeight="1">
      <c r="A1274" s="1557"/>
      <c r="B1274" s="1560"/>
      <c r="C1274" s="1563"/>
      <c r="D1274" s="1566"/>
      <c r="E1274" s="358" t="s">
        <v>379</v>
      </c>
      <c r="F1274" s="359">
        <f t="shared" si="102"/>
        <v>7072</v>
      </c>
      <c r="G1274" s="359">
        <v>4715</v>
      </c>
      <c r="H1274" s="359"/>
      <c r="I1274" s="359">
        <v>2357</v>
      </c>
      <c r="J1274" s="360"/>
    </row>
    <row r="1275" spans="1:10" s="106" customFormat="1" ht="24.95" customHeight="1">
      <c r="A1275" s="1557"/>
      <c r="B1275" s="1560"/>
      <c r="C1275" s="1563"/>
      <c r="D1275" s="1566"/>
      <c r="E1275" s="361" t="s">
        <v>318</v>
      </c>
      <c r="F1275" s="356">
        <f>SUM(F1276:F1277)</f>
        <v>27067</v>
      </c>
      <c r="G1275" s="356">
        <f>SUM(G1276:G1277)</f>
        <v>2707</v>
      </c>
      <c r="H1275" s="356">
        <f>SUM(H1276:H1277)</f>
        <v>23006</v>
      </c>
      <c r="I1275" s="356">
        <f>SUM(I1276:I1277)</f>
        <v>1354</v>
      </c>
      <c r="J1275" s="357">
        <f>SUM(J1276:J1277)</f>
        <v>0</v>
      </c>
    </row>
    <row r="1276" spans="1:10" s="106" customFormat="1" ht="15" customHeight="1">
      <c r="A1276" s="1557"/>
      <c r="B1276" s="1560"/>
      <c r="C1276" s="1563"/>
      <c r="D1276" s="1566"/>
      <c r="E1276" s="358" t="s">
        <v>408</v>
      </c>
      <c r="F1276" s="359">
        <f>SUM(G1276:J1276)</f>
        <v>23006</v>
      </c>
      <c r="G1276" s="359"/>
      <c r="H1276" s="359">
        <v>23006</v>
      </c>
      <c r="I1276" s="359"/>
      <c r="J1276" s="360"/>
    </row>
    <row r="1277" spans="1:10" s="106" customFormat="1" ht="15" customHeight="1">
      <c r="A1277" s="1558"/>
      <c r="B1277" s="1561"/>
      <c r="C1277" s="1564"/>
      <c r="D1277" s="1567"/>
      <c r="E1277" s="396">
        <v>6069</v>
      </c>
      <c r="F1277" s="359">
        <f>SUM(G1277:J1277)</f>
        <v>4061</v>
      </c>
      <c r="G1277" s="359">
        <v>2707</v>
      </c>
      <c r="H1277" s="359"/>
      <c r="I1277" s="359">
        <v>1354</v>
      </c>
      <c r="J1277" s="360"/>
    </row>
    <row r="1278" spans="1:10" s="106" customFormat="1" ht="24.95" customHeight="1">
      <c r="A1278" s="419" t="s">
        <v>542</v>
      </c>
      <c r="B1278" s="1574" t="s">
        <v>543</v>
      </c>
      <c r="C1278" s="1575"/>
      <c r="D1278" s="1575"/>
      <c r="E1278" s="1576"/>
      <c r="F1278" s="420">
        <f>F1280</f>
        <v>123874</v>
      </c>
      <c r="G1278" s="420">
        <f>G1280</f>
        <v>12387</v>
      </c>
      <c r="H1278" s="420">
        <f t="shared" ref="H1278:J1278" si="103">H1280</f>
        <v>105293</v>
      </c>
      <c r="I1278" s="420">
        <f t="shared" si="103"/>
        <v>6194</v>
      </c>
      <c r="J1278" s="421">
        <f t="shared" si="103"/>
        <v>0</v>
      </c>
    </row>
    <row r="1279" spans="1:10" s="106" customFormat="1" ht="15" customHeight="1">
      <c r="A1279" s="1577"/>
      <c r="B1279" s="1578"/>
      <c r="C1279" s="1578"/>
      <c r="D1279" s="1578"/>
      <c r="E1279" s="1578"/>
      <c r="F1279" s="1578"/>
      <c r="G1279" s="1578"/>
      <c r="H1279" s="1578"/>
      <c r="I1279" s="1578"/>
      <c r="J1279" s="1579"/>
    </row>
    <row r="1280" spans="1:10" s="106" customFormat="1" ht="24.95" customHeight="1">
      <c r="A1280" s="1556" t="s">
        <v>313</v>
      </c>
      <c r="B1280" s="1559" t="s">
        <v>536</v>
      </c>
      <c r="C1280" s="1562">
        <v>801</v>
      </c>
      <c r="D1280" s="1565" t="s">
        <v>537</v>
      </c>
      <c r="E1280" s="350" t="s">
        <v>315</v>
      </c>
      <c r="F1280" s="351">
        <f>SUM(F1281,F1306)</f>
        <v>123874</v>
      </c>
      <c r="G1280" s="351">
        <f>SUM(G1281,G1306)</f>
        <v>12387</v>
      </c>
      <c r="H1280" s="351">
        <f>SUM(H1281,H1306)</f>
        <v>105293</v>
      </c>
      <c r="I1280" s="351">
        <f>SUM(I1281,I1306)</f>
        <v>6194</v>
      </c>
      <c r="J1280" s="352">
        <f>SUM(J1281,J1306)</f>
        <v>0</v>
      </c>
    </row>
    <row r="1281" spans="1:10" s="106" customFormat="1" ht="24.95" customHeight="1">
      <c r="A1281" s="1557"/>
      <c r="B1281" s="1560"/>
      <c r="C1281" s="1563"/>
      <c r="D1281" s="1566"/>
      <c r="E1281" s="355" t="s">
        <v>332</v>
      </c>
      <c r="F1281" s="356">
        <f>SUM(F1282,F1291)</f>
        <v>123874</v>
      </c>
      <c r="G1281" s="356">
        <f>SUM(G1282,G1291)</f>
        <v>12387</v>
      </c>
      <c r="H1281" s="356">
        <f>SUM(H1282,H1291)</f>
        <v>105293</v>
      </c>
      <c r="I1281" s="356">
        <f>SUM(I1282,I1291)</f>
        <v>6194</v>
      </c>
      <c r="J1281" s="357">
        <f>SUM(J1282,J1291)</f>
        <v>0</v>
      </c>
    </row>
    <row r="1282" spans="1:10" s="106" customFormat="1" ht="24.95" customHeight="1">
      <c r="A1282" s="1557"/>
      <c r="B1282" s="1560"/>
      <c r="C1282" s="1563"/>
      <c r="D1282" s="1566"/>
      <c r="E1282" s="393" t="s">
        <v>333</v>
      </c>
      <c r="F1282" s="394">
        <f>SUM(F1283:F1290)</f>
        <v>20377</v>
      </c>
      <c r="G1282" s="394">
        <f>SUM(G1283:G1290)</f>
        <v>2038</v>
      </c>
      <c r="H1282" s="394">
        <f>SUM(H1283:H1290)</f>
        <v>17320</v>
      </c>
      <c r="I1282" s="394">
        <f>SUM(I1283:I1290)</f>
        <v>1019</v>
      </c>
      <c r="J1282" s="395">
        <f>SUM(J1283:J1290)</f>
        <v>0</v>
      </c>
    </row>
    <row r="1283" spans="1:10" s="106" customFormat="1" ht="15" customHeight="1">
      <c r="A1283" s="1557"/>
      <c r="B1283" s="1560"/>
      <c r="C1283" s="1563"/>
      <c r="D1283" s="1566"/>
      <c r="E1283" s="358" t="s">
        <v>391</v>
      </c>
      <c r="F1283" s="359">
        <f>SUM(G1283:J1283)</f>
        <v>12359</v>
      </c>
      <c r="G1283" s="359"/>
      <c r="H1283" s="359">
        <v>12359</v>
      </c>
      <c r="I1283" s="359"/>
      <c r="J1283" s="360"/>
    </row>
    <row r="1284" spans="1:10" s="106" customFormat="1" ht="15" customHeight="1">
      <c r="A1284" s="1557"/>
      <c r="B1284" s="1560"/>
      <c r="C1284" s="1563"/>
      <c r="D1284" s="1566"/>
      <c r="E1284" s="358" t="s">
        <v>363</v>
      </c>
      <c r="F1284" s="359">
        <f>SUM(G1284:J1284)</f>
        <v>2181</v>
      </c>
      <c r="G1284" s="359">
        <v>1454</v>
      </c>
      <c r="H1284" s="359"/>
      <c r="I1284" s="359">
        <v>727</v>
      </c>
      <c r="J1284" s="360"/>
    </row>
    <row r="1285" spans="1:10" s="106" customFormat="1" ht="15" customHeight="1">
      <c r="A1285" s="1557"/>
      <c r="B1285" s="1560"/>
      <c r="C1285" s="1563"/>
      <c r="D1285" s="1566"/>
      <c r="E1285" s="358" t="s">
        <v>393</v>
      </c>
      <c r="F1285" s="359">
        <f>SUM(G1285:J1285)</f>
        <v>2491</v>
      </c>
      <c r="G1285" s="359"/>
      <c r="H1285" s="359">
        <v>2491</v>
      </c>
      <c r="I1285" s="359"/>
      <c r="J1285" s="360"/>
    </row>
    <row r="1286" spans="1:10" s="106" customFormat="1" ht="15" customHeight="1">
      <c r="A1286" s="1557"/>
      <c r="B1286" s="1560"/>
      <c r="C1286" s="1563"/>
      <c r="D1286" s="1566"/>
      <c r="E1286" s="358" t="s">
        <v>335</v>
      </c>
      <c r="F1286" s="359">
        <f>SUM(G1286:J1286)</f>
        <v>440</v>
      </c>
      <c r="G1286" s="359">
        <v>293</v>
      </c>
      <c r="H1286" s="359"/>
      <c r="I1286" s="359">
        <v>147</v>
      </c>
      <c r="J1286" s="360"/>
    </row>
    <row r="1287" spans="1:10" s="106" customFormat="1" ht="15" customHeight="1">
      <c r="A1287" s="1557"/>
      <c r="B1287" s="1560"/>
      <c r="C1287" s="1563"/>
      <c r="D1287" s="1566"/>
      <c r="E1287" s="358" t="s">
        <v>394</v>
      </c>
      <c r="F1287" s="359">
        <f t="shared" ref="F1287:F1289" si="104">SUM(G1287:J1287)</f>
        <v>345</v>
      </c>
      <c r="G1287" s="359"/>
      <c r="H1287" s="359">
        <v>345</v>
      </c>
      <c r="I1287" s="359"/>
      <c r="J1287" s="360"/>
    </row>
    <row r="1288" spans="1:10" s="106" customFormat="1" ht="15" customHeight="1">
      <c r="A1288" s="1557"/>
      <c r="B1288" s="1560"/>
      <c r="C1288" s="1563"/>
      <c r="D1288" s="1566"/>
      <c r="E1288" s="358" t="s">
        <v>367</v>
      </c>
      <c r="F1288" s="359">
        <f t="shared" si="104"/>
        <v>61</v>
      </c>
      <c r="G1288" s="359">
        <v>41</v>
      </c>
      <c r="H1288" s="359"/>
      <c r="I1288" s="359">
        <v>20</v>
      </c>
      <c r="J1288" s="360"/>
    </row>
    <row r="1289" spans="1:10" s="106" customFormat="1" ht="15" customHeight="1">
      <c r="A1289" s="1557"/>
      <c r="B1289" s="1560"/>
      <c r="C1289" s="1563"/>
      <c r="D1289" s="1566"/>
      <c r="E1289" s="358" t="s">
        <v>395</v>
      </c>
      <c r="F1289" s="359">
        <f t="shared" si="104"/>
        <v>2125</v>
      </c>
      <c r="G1289" s="359"/>
      <c r="H1289" s="359">
        <v>2125</v>
      </c>
      <c r="I1289" s="359"/>
      <c r="J1289" s="360"/>
    </row>
    <row r="1290" spans="1:10" s="106" customFormat="1" ht="15" customHeight="1">
      <c r="A1290" s="1557"/>
      <c r="B1290" s="1560"/>
      <c r="C1290" s="1563"/>
      <c r="D1290" s="1566"/>
      <c r="E1290" s="358" t="s">
        <v>337</v>
      </c>
      <c r="F1290" s="359">
        <f>SUM(G1290:J1290)</f>
        <v>375</v>
      </c>
      <c r="G1290" s="359">
        <v>250</v>
      </c>
      <c r="H1290" s="359"/>
      <c r="I1290" s="359">
        <v>125</v>
      </c>
      <c r="J1290" s="360"/>
    </row>
    <row r="1291" spans="1:10" s="106" customFormat="1" ht="24.95" customHeight="1">
      <c r="A1291" s="1557"/>
      <c r="B1291" s="1560"/>
      <c r="C1291" s="1563"/>
      <c r="D1291" s="1566"/>
      <c r="E1291" s="393" t="s">
        <v>338</v>
      </c>
      <c r="F1291" s="394">
        <f>SUM(F1292:F1305)</f>
        <v>103497</v>
      </c>
      <c r="G1291" s="394">
        <f>SUM(G1292:G1305)</f>
        <v>10349</v>
      </c>
      <c r="H1291" s="394">
        <f>SUM(H1292:H1305)</f>
        <v>87973</v>
      </c>
      <c r="I1291" s="394">
        <f>SUM(I1292:I1305)</f>
        <v>5175</v>
      </c>
      <c r="J1291" s="395">
        <f>SUM(J1292:J1305)</f>
        <v>0</v>
      </c>
    </row>
    <row r="1292" spans="1:10" s="106" customFormat="1" ht="15" customHeight="1">
      <c r="A1292" s="1557"/>
      <c r="B1292" s="1560"/>
      <c r="C1292" s="1563"/>
      <c r="D1292" s="1566"/>
      <c r="E1292" s="358" t="s">
        <v>429</v>
      </c>
      <c r="F1292" s="359">
        <f t="shared" ref="F1292:F1305" si="105">SUM(G1292:J1292)</f>
        <v>6782</v>
      </c>
      <c r="G1292" s="359"/>
      <c r="H1292" s="359">
        <v>6782</v>
      </c>
      <c r="I1292" s="359"/>
      <c r="J1292" s="360"/>
    </row>
    <row r="1293" spans="1:10" s="106" customFormat="1" ht="15" customHeight="1">
      <c r="A1293" s="1557"/>
      <c r="B1293" s="1560"/>
      <c r="C1293" s="1563"/>
      <c r="D1293" s="1566"/>
      <c r="E1293" s="358" t="s">
        <v>430</v>
      </c>
      <c r="F1293" s="359">
        <f t="shared" si="105"/>
        <v>1197</v>
      </c>
      <c r="G1293" s="359">
        <v>798</v>
      </c>
      <c r="H1293" s="359"/>
      <c r="I1293" s="359">
        <v>399</v>
      </c>
      <c r="J1293" s="360"/>
    </row>
    <row r="1294" spans="1:10" s="106" customFormat="1" ht="15" customHeight="1">
      <c r="A1294" s="1557"/>
      <c r="B1294" s="1560"/>
      <c r="C1294" s="1563"/>
      <c r="D1294" s="1566"/>
      <c r="E1294" s="358" t="s">
        <v>396</v>
      </c>
      <c r="F1294" s="359">
        <f t="shared" si="105"/>
        <v>8488</v>
      </c>
      <c r="G1294" s="359"/>
      <c r="H1294" s="359">
        <v>8488</v>
      </c>
      <c r="I1294" s="359"/>
      <c r="J1294" s="360"/>
    </row>
    <row r="1295" spans="1:10" s="106" customFormat="1" ht="15" customHeight="1">
      <c r="A1295" s="1557"/>
      <c r="B1295" s="1560"/>
      <c r="C1295" s="1563"/>
      <c r="D1295" s="1566"/>
      <c r="E1295" s="358" t="s">
        <v>340</v>
      </c>
      <c r="F1295" s="359">
        <f t="shared" si="105"/>
        <v>1497</v>
      </c>
      <c r="G1295" s="359">
        <v>998</v>
      </c>
      <c r="H1295" s="359"/>
      <c r="I1295" s="359">
        <v>499</v>
      </c>
      <c r="J1295" s="360"/>
    </row>
    <row r="1296" spans="1:10" s="106" customFormat="1" ht="15" customHeight="1">
      <c r="A1296" s="1557"/>
      <c r="B1296" s="1560"/>
      <c r="C1296" s="1563"/>
      <c r="D1296" s="1566"/>
      <c r="E1296" s="358" t="s">
        <v>538</v>
      </c>
      <c r="F1296" s="359">
        <f t="shared" si="105"/>
        <v>18088</v>
      </c>
      <c r="G1296" s="359"/>
      <c r="H1296" s="359">
        <v>18088</v>
      </c>
      <c r="I1296" s="359"/>
      <c r="J1296" s="360"/>
    </row>
    <row r="1297" spans="1:10" s="106" customFormat="1" ht="15" customHeight="1">
      <c r="A1297" s="1557"/>
      <c r="B1297" s="1560"/>
      <c r="C1297" s="1563"/>
      <c r="D1297" s="1566"/>
      <c r="E1297" s="358" t="s">
        <v>539</v>
      </c>
      <c r="F1297" s="359">
        <f t="shared" si="105"/>
        <v>3192</v>
      </c>
      <c r="G1297" s="359">
        <v>2128</v>
      </c>
      <c r="H1297" s="359"/>
      <c r="I1297" s="359">
        <v>1064</v>
      </c>
      <c r="J1297" s="360"/>
    </row>
    <row r="1298" spans="1:10" s="106" customFormat="1" ht="15" customHeight="1">
      <c r="A1298" s="1557"/>
      <c r="B1298" s="1560"/>
      <c r="C1298" s="1563"/>
      <c r="D1298" s="1566"/>
      <c r="E1298" s="358" t="s">
        <v>431</v>
      </c>
      <c r="F1298" s="359">
        <f t="shared" si="105"/>
        <v>147</v>
      </c>
      <c r="G1298" s="359"/>
      <c r="H1298" s="359">
        <v>147</v>
      </c>
      <c r="I1298" s="359"/>
      <c r="J1298" s="360"/>
    </row>
    <row r="1299" spans="1:10" s="106" customFormat="1" ht="15" customHeight="1">
      <c r="A1299" s="1557"/>
      <c r="B1299" s="1560"/>
      <c r="C1299" s="1563"/>
      <c r="D1299" s="1566"/>
      <c r="E1299" s="358" t="s">
        <v>373</v>
      </c>
      <c r="F1299" s="359">
        <f t="shared" si="105"/>
        <v>26</v>
      </c>
      <c r="G1299" s="359">
        <v>17</v>
      </c>
      <c r="H1299" s="359"/>
      <c r="I1299" s="359">
        <v>9</v>
      </c>
      <c r="J1299" s="360"/>
    </row>
    <row r="1300" spans="1:10" s="106" customFormat="1" ht="15" customHeight="1">
      <c r="A1300" s="1557"/>
      <c r="B1300" s="1560"/>
      <c r="C1300" s="1563"/>
      <c r="D1300" s="1566"/>
      <c r="E1300" s="358" t="s">
        <v>397</v>
      </c>
      <c r="F1300" s="359">
        <f t="shared" si="105"/>
        <v>10586</v>
      </c>
      <c r="G1300" s="359"/>
      <c r="H1300" s="359">
        <v>10586</v>
      </c>
      <c r="I1300" s="359"/>
      <c r="J1300" s="360"/>
    </row>
    <row r="1301" spans="1:10" s="106" customFormat="1" ht="15" customHeight="1">
      <c r="A1301" s="1557"/>
      <c r="B1301" s="1560"/>
      <c r="C1301" s="1563"/>
      <c r="D1301" s="1566"/>
      <c r="E1301" s="358" t="s">
        <v>342</v>
      </c>
      <c r="F1301" s="359">
        <f t="shared" si="105"/>
        <v>1868</v>
      </c>
      <c r="G1301" s="359">
        <v>1245</v>
      </c>
      <c r="H1301" s="359"/>
      <c r="I1301" s="359">
        <v>623</v>
      </c>
      <c r="J1301" s="360"/>
    </row>
    <row r="1302" spans="1:10" s="106" customFormat="1" ht="15" customHeight="1">
      <c r="A1302" s="1557"/>
      <c r="B1302" s="1560"/>
      <c r="C1302" s="1563"/>
      <c r="D1302" s="1566"/>
      <c r="E1302" s="358" t="s">
        <v>432</v>
      </c>
      <c r="F1302" s="359">
        <f t="shared" si="105"/>
        <v>73</v>
      </c>
      <c r="G1302" s="359"/>
      <c r="H1302" s="359">
        <v>73</v>
      </c>
      <c r="I1302" s="359"/>
      <c r="J1302" s="360"/>
    </row>
    <row r="1303" spans="1:10" s="106" customFormat="1" ht="15" customHeight="1">
      <c r="A1303" s="1557"/>
      <c r="B1303" s="1560"/>
      <c r="C1303" s="1563"/>
      <c r="D1303" s="1566"/>
      <c r="E1303" s="358" t="s">
        <v>433</v>
      </c>
      <c r="F1303" s="359">
        <f t="shared" si="105"/>
        <v>13</v>
      </c>
      <c r="G1303" s="359">
        <v>9</v>
      </c>
      <c r="H1303" s="359"/>
      <c r="I1303" s="359">
        <v>4</v>
      </c>
      <c r="J1303" s="360"/>
    </row>
    <row r="1304" spans="1:10" s="106" customFormat="1" ht="15" customHeight="1">
      <c r="A1304" s="1557"/>
      <c r="B1304" s="1560"/>
      <c r="C1304" s="1563"/>
      <c r="D1304" s="1566"/>
      <c r="E1304" s="358" t="s">
        <v>403</v>
      </c>
      <c r="F1304" s="359">
        <f t="shared" si="105"/>
        <v>43809</v>
      </c>
      <c r="G1304" s="359"/>
      <c r="H1304" s="359">
        <v>43809</v>
      </c>
      <c r="I1304" s="359"/>
      <c r="J1304" s="360"/>
    </row>
    <row r="1305" spans="1:10" s="106" customFormat="1" ht="15" customHeight="1">
      <c r="A1305" s="1557"/>
      <c r="B1305" s="1560"/>
      <c r="C1305" s="1563"/>
      <c r="D1305" s="1566"/>
      <c r="E1305" s="358" t="s">
        <v>379</v>
      </c>
      <c r="F1305" s="359">
        <f t="shared" si="105"/>
        <v>7731</v>
      </c>
      <c r="G1305" s="359">
        <v>5154</v>
      </c>
      <c r="H1305" s="359"/>
      <c r="I1305" s="359">
        <v>2577</v>
      </c>
      <c r="J1305" s="360"/>
    </row>
    <row r="1306" spans="1:10" s="106" customFormat="1" ht="24.95" customHeight="1">
      <c r="A1306" s="1558"/>
      <c r="B1306" s="1561"/>
      <c r="C1306" s="1564"/>
      <c r="D1306" s="1567"/>
      <c r="E1306" s="361" t="s">
        <v>318</v>
      </c>
      <c r="F1306" s="356">
        <f>SUM(F1307:F1308)</f>
        <v>0</v>
      </c>
      <c r="G1306" s="356">
        <f>SUM(G1307:G1308)</f>
        <v>0</v>
      </c>
      <c r="H1306" s="356">
        <f>SUM(H1307:H1308)</f>
        <v>0</v>
      </c>
      <c r="I1306" s="356">
        <f>SUM(I1307:I1308)</f>
        <v>0</v>
      </c>
      <c r="J1306" s="357">
        <f>SUM(J1307:J1308)</f>
        <v>0</v>
      </c>
    </row>
    <row r="1307" spans="1:10" s="106" customFormat="1" ht="15" hidden="1" customHeight="1">
      <c r="A1307" s="406"/>
      <c r="B1307" s="407"/>
      <c r="C1307" s="408"/>
      <c r="D1307" s="409"/>
      <c r="E1307" s="401" t="s">
        <v>408</v>
      </c>
      <c r="F1307" s="402">
        <f>SUM(G1307:J1307)</f>
        <v>0</v>
      </c>
      <c r="G1307" s="402"/>
      <c r="H1307" s="402"/>
      <c r="I1307" s="402"/>
      <c r="J1307" s="403"/>
    </row>
    <row r="1308" spans="1:10" s="106" customFormat="1" ht="15" hidden="1" customHeight="1">
      <c r="A1308" s="397"/>
      <c r="B1308" s="398"/>
      <c r="C1308" s="399"/>
      <c r="D1308" s="400"/>
      <c r="E1308" s="396">
        <v>6069</v>
      </c>
      <c r="F1308" s="359">
        <f>SUM(G1308:J1308)</f>
        <v>0</v>
      </c>
      <c r="G1308" s="359"/>
      <c r="H1308" s="359"/>
      <c r="I1308" s="359"/>
      <c r="J1308" s="360"/>
    </row>
    <row r="1309" spans="1:10" s="106" customFormat="1" ht="24.95" customHeight="1">
      <c r="A1309" s="419" t="s">
        <v>544</v>
      </c>
      <c r="B1309" s="1574" t="s">
        <v>545</v>
      </c>
      <c r="C1309" s="1575"/>
      <c r="D1309" s="1575"/>
      <c r="E1309" s="1576"/>
      <c r="F1309" s="420">
        <f>F1311</f>
        <v>160807</v>
      </c>
      <c r="G1309" s="420">
        <f>G1311</f>
        <v>16081</v>
      </c>
      <c r="H1309" s="420">
        <f t="shared" ref="H1309:J1309" si="106">H1311</f>
        <v>136685</v>
      </c>
      <c r="I1309" s="420">
        <f t="shared" si="106"/>
        <v>8041</v>
      </c>
      <c r="J1309" s="421">
        <f t="shared" si="106"/>
        <v>0</v>
      </c>
    </row>
    <row r="1310" spans="1:10" s="106" customFormat="1" ht="15" customHeight="1">
      <c r="A1310" s="1577"/>
      <c r="B1310" s="1578"/>
      <c r="C1310" s="1578"/>
      <c r="D1310" s="1578"/>
      <c r="E1310" s="1578"/>
      <c r="F1310" s="1578"/>
      <c r="G1310" s="1578"/>
      <c r="H1310" s="1578"/>
      <c r="I1310" s="1578"/>
      <c r="J1310" s="1579"/>
    </row>
    <row r="1311" spans="1:10" s="106" customFormat="1" ht="24.95" customHeight="1">
      <c r="A1311" s="1556" t="s">
        <v>313</v>
      </c>
      <c r="B1311" s="1559" t="s">
        <v>536</v>
      </c>
      <c r="C1311" s="1562">
        <v>801</v>
      </c>
      <c r="D1311" s="1565" t="s">
        <v>537</v>
      </c>
      <c r="E1311" s="350" t="s">
        <v>315</v>
      </c>
      <c r="F1311" s="351">
        <f>SUM(F1312,F1337)</f>
        <v>160807</v>
      </c>
      <c r="G1311" s="351">
        <f>SUM(G1312,G1337)</f>
        <v>16081</v>
      </c>
      <c r="H1311" s="351">
        <f>SUM(H1312,H1337)</f>
        <v>136685</v>
      </c>
      <c r="I1311" s="351">
        <f>SUM(I1312,I1337)</f>
        <v>8041</v>
      </c>
      <c r="J1311" s="352">
        <f>SUM(J1312,J1337)</f>
        <v>0</v>
      </c>
    </row>
    <row r="1312" spans="1:10" s="106" customFormat="1" ht="24.95" customHeight="1">
      <c r="A1312" s="1557"/>
      <c r="B1312" s="1560"/>
      <c r="C1312" s="1563"/>
      <c r="D1312" s="1566"/>
      <c r="E1312" s="355" t="s">
        <v>332</v>
      </c>
      <c r="F1312" s="356">
        <f>SUM(F1313,F1322)</f>
        <v>107107</v>
      </c>
      <c r="G1312" s="356">
        <f>SUM(G1313,G1322)</f>
        <v>10711</v>
      </c>
      <c r="H1312" s="356">
        <f>SUM(H1313,H1322)</f>
        <v>91040</v>
      </c>
      <c r="I1312" s="356">
        <f>SUM(I1313,I1322)</f>
        <v>5356</v>
      </c>
      <c r="J1312" s="357">
        <f>SUM(J1313,J1322)</f>
        <v>0</v>
      </c>
    </row>
    <row r="1313" spans="1:10" s="106" customFormat="1" ht="24.95" customHeight="1">
      <c r="A1313" s="1557"/>
      <c r="B1313" s="1560"/>
      <c r="C1313" s="1563"/>
      <c r="D1313" s="1566"/>
      <c r="E1313" s="393" t="s">
        <v>333</v>
      </c>
      <c r="F1313" s="394">
        <f>SUM(F1314:F1321)</f>
        <v>13637</v>
      </c>
      <c r="G1313" s="394">
        <f>SUM(G1314:G1321)</f>
        <v>1365</v>
      </c>
      <c r="H1313" s="394">
        <f>SUM(H1314:H1321)</f>
        <v>11592</v>
      </c>
      <c r="I1313" s="394">
        <f>SUM(I1314:I1321)</f>
        <v>680</v>
      </c>
      <c r="J1313" s="395">
        <f>SUM(J1314:J1321)</f>
        <v>0</v>
      </c>
    </row>
    <row r="1314" spans="1:10" s="106" customFormat="1" ht="15" customHeight="1">
      <c r="A1314" s="1557"/>
      <c r="B1314" s="1560"/>
      <c r="C1314" s="1563"/>
      <c r="D1314" s="1566"/>
      <c r="E1314" s="358" t="s">
        <v>391</v>
      </c>
      <c r="F1314" s="359">
        <f>SUM(G1314:J1314)</f>
        <v>9315</v>
      </c>
      <c r="G1314" s="359"/>
      <c r="H1314" s="359">
        <v>9315</v>
      </c>
      <c r="I1314" s="359"/>
      <c r="J1314" s="360"/>
    </row>
    <row r="1315" spans="1:10" s="106" customFormat="1" ht="15" customHeight="1">
      <c r="A1315" s="1557"/>
      <c r="B1315" s="1560"/>
      <c r="C1315" s="1563"/>
      <c r="D1315" s="1566"/>
      <c r="E1315" s="358" t="s">
        <v>363</v>
      </c>
      <c r="F1315" s="359">
        <f>SUM(G1315:J1315)</f>
        <v>1644</v>
      </c>
      <c r="G1315" s="359">
        <v>1096</v>
      </c>
      <c r="H1315" s="359"/>
      <c r="I1315" s="359">
        <v>548</v>
      </c>
      <c r="J1315" s="360"/>
    </row>
    <row r="1316" spans="1:10" s="106" customFormat="1" ht="15" customHeight="1">
      <c r="A1316" s="1557"/>
      <c r="B1316" s="1560"/>
      <c r="C1316" s="1563"/>
      <c r="D1316" s="1566"/>
      <c r="E1316" s="358" t="s">
        <v>393</v>
      </c>
      <c r="F1316" s="359">
        <f>SUM(G1316:J1316)</f>
        <v>1993</v>
      </c>
      <c r="G1316" s="359"/>
      <c r="H1316" s="359">
        <v>1993</v>
      </c>
      <c r="I1316" s="359"/>
      <c r="J1316" s="360"/>
    </row>
    <row r="1317" spans="1:10" s="106" customFormat="1" ht="15" customHeight="1">
      <c r="A1317" s="1557"/>
      <c r="B1317" s="1560"/>
      <c r="C1317" s="1563"/>
      <c r="D1317" s="1566"/>
      <c r="E1317" s="358" t="s">
        <v>335</v>
      </c>
      <c r="F1317" s="359">
        <f>SUM(G1317:J1317)</f>
        <v>351</v>
      </c>
      <c r="G1317" s="359">
        <v>235</v>
      </c>
      <c r="H1317" s="359"/>
      <c r="I1317" s="359">
        <v>116</v>
      </c>
      <c r="J1317" s="360"/>
    </row>
    <row r="1318" spans="1:10" s="106" customFormat="1" ht="15" customHeight="1">
      <c r="A1318" s="1557"/>
      <c r="B1318" s="1560"/>
      <c r="C1318" s="1563"/>
      <c r="D1318" s="1566"/>
      <c r="E1318" s="358" t="s">
        <v>394</v>
      </c>
      <c r="F1318" s="359">
        <f t="shared" ref="F1318:F1320" si="107">SUM(G1318:J1318)</f>
        <v>284</v>
      </c>
      <c r="G1318" s="359"/>
      <c r="H1318" s="359">
        <v>284</v>
      </c>
      <c r="I1318" s="359"/>
      <c r="J1318" s="360"/>
    </row>
    <row r="1319" spans="1:10" s="106" customFormat="1" ht="15" customHeight="1">
      <c r="A1319" s="1557"/>
      <c r="B1319" s="1560"/>
      <c r="C1319" s="1563"/>
      <c r="D1319" s="1566"/>
      <c r="E1319" s="358" t="s">
        <v>367</v>
      </c>
      <c r="F1319" s="359">
        <f t="shared" si="107"/>
        <v>50</v>
      </c>
      <c r="G1319" s="359">
        <v>34</v>
      </c>
      <c r="H1319" s="359"/>
      <c r="I1319" s="359">
        <v>16</v>
      </c>
      <c r="J1319" s="360"/>
    </row>
    <row r="1320" spans="1:10" s="106" customFormat="1" ht="15" hidden="1" customHeight="1">
      <c r="A1320" s="1557"/>
      <c r="B1320" s="1560"/>
      <c r="C1320" s="1563"/>
      <c r="D1320" s="1566"/>
      <c r="E1320" s="358" t="s">
        <v>395</v>
      </c>
      <c r="F1320" s="359">
        <f t="shared" si="107"/>
        <v>0</v>
      </c>
      <c r="G1320" s="359"/>
      <c r="H1320" s="359"/>
      <c r="I1320" s="359"/>
      <c r="J1320" s="360"/>
    </row>
    <row r="1321" spans="1:10" s="106" customFormat="1" ht="15" hidden="1" customHeight="1">
      <c r="A1321" s="1557"/>
      <c r="B1321" s="1560"/>
      <c r="C1321" s="1563"/>
      <c r="D1321" s="1566"/>
      <c r="E1321" s="358" t="s">
        <v>337</v>
      </c>
      <c r="F1321" s="359">
        <f>SUM(G1321:J1321)</f>
        <v>0</v>
      </c>
      <c r="G1321" s="359"/>
      <c r="H1321" s="359"/>
      <c r="I1321" s="359"/>
      <c r="J1321" s="360"/>
    </row>
    <row r="1322" spans="1:10" s="106" customFormat="1" ht="24.95" customHeight="1">
      <c r="A1322" s="1557"/>
      <c r="B1322" s="1560"/>
      <c r="C1322" s="1563"/>
      <c r="D1322" s="1566"/>
      <c r="E1322" s="393" t="s">
        <v>338</v>
      </c>
      <c r="F1322" s="394">
        <f>SUM(F1323:F1336)</f>
        <v>93470</v>
      </c>
      <c r="G1322" s="394">
        <f>SUM(G1323:G1336)</f>
        <v>9346</v>
      </c>
      <c r="H1322" s="394">
        <f>SUM(H1323:H1336)</f>
        <v>79448</v>
      </c>
      <c r="I1322" s="394">
        <f>SUM(I1323:I1336)</f>
        <v>4676</v>
      </c>
      <c r="J1322" s="395">
        <f>SUM(J1323:J1336)</f>
        <v>0</v>
      </c>
    </row>
    <row r="1323" spans="1:10" s="106" customFormat="1" ht="15" customHeight="1">
      <c r="A1323" s="1557"/>
      <c r="B1323" s="1560"/>
      <c r="C1323" s="1563"/>
      <c r="D1323" s="1566"/>
      <c r="E1323" s="358" t="s">
        <v>429</v>
      </c>
      <c r="F1323" s="359">
        <f t="shared" ref="F1323:F1336" si="108">SUM(G1323:J1323)</f>
        <v>20347</v>
      </c>
      <c r="G1323" s="359"/>
      <c r="H1323" s="359">
        <v>20347</v>
      </c>
      <c r="I1323" s="359"/>
      <c r="J1323" s="360"/>
    </row>
    <row r="1324" spans="1:10" s="106" customFormat="1" ht="15" customHeight="1">
      <c r="A1324" s="1557"/>
      <c r="B1324" s="1560"/>
      <c r="C1324" s="1563"/>
      <c r="D1324" s="1566"/>
      <c r="E1324" s="358" t="s">
        <v>430</v>
      </c>
      <c r="F1324" s="359">
        <f t="shared" si="108"/>
        <v>3591</v>
      </c>
      <c r="G1324" s="359">
        <v>2394</v>
      </c>
      <c r="H1324" s="359"/>
      <c r="I1324" s="359">
        <v>1197</v>
      </c>
      <c r="J1324" s="360"/>
    </row>
    <row r="1325" spans="1:10" s="106" customFormat="1" ht="15" customHeight="1">
      <c r="A1325" s="1557"/>
      <c r="B1325" s="1560"/>
      <c r="C1325" s="1563"/>
      <c r="D1325" s="1566"/>
      <c r="E1325" s="358" t="s">
        <v>396</v>
      </c>
      <c r="F1325" s="359">
        <f t="shared" si="108"/>
        <v>572</v>
      </c>
      <c r="G1325" s="359"/>
      <c r="H1325" s="359">
        <v>572</v>
      </c>
      <c r="I1325" s="359"/>
      <c r="J1325" s="360"/>
    </row>
    <row r="1326" spans="1:10" s="106" customFormat="1" ht="15" customHeight="1">
      <c r="A1326" s="1557"/>
      <c r="B1326" s="1560"/>
      <c r="C1326" s="1563"/>
      <c r="D1326" s="1566"/>
      <c r="E1326" s="358" t="s">
        <v>340</v>
      </c>
      <c r="F1326" s="359">
        <f t="shared" si="108"/>
        <v>101</v>
      </c>
      <c r="G1326" s="359">
        <v>67</v>
      </c>
      <c r="H1326" s="359"/>
      <c r="I1326" s="359">
        <v>34</v>
      </c>
      <c r="J1326" s="360"/>
    </row>
    <row r="1327" spans="1:10" s="106" customFormat="1" ht="15" customHeight="1">
      <c r="A1327" s="1557"/>
      <c r="B1327" s="1560"/>
      <c r="C1327" s="1563"/>
      <c r="D1327" s="1566"/>
      <c r="E1327" s="358" t="s">
        <v>538</v>
      </c>
      <c r="F1327" s="359">
        <f t="shared" si="108"/>
        <v>10183</v>
      </c>
      <c r="G1327" s="359"/>
      <c r="H1327" s="359">
        <v>10183</v>
      </c>
      <c r="I1327" s="359"/>
      <c r="J1327" s="360"/>
    </row>
    <row r="1328" spans="1:10" s="106" customFormat="1" ht="15" customHeight="1">
      <c r="A1328" s="1557"/>
      <c r="B1328" s="1560"/>
      <c r="C1328" s="1563"/>
      <c r="D1328" s="1566"/>
      <c r="E1328" s="358" t="s">
        <v>539</v>
      </c>
      <c r="F1328" s="359">
        <f t="shared" si="108"/>
        <v>1797</v>
      </c>
      <c r="G1328" s="359">
        <v>1198</v>
      </c>
      <c r="H1328" s="359"/>
      <c r="I1328" s="359">
        <v>599</v>
      </c>
      <c r="J1328" s="360"/>
    </row>
    <row r="1329" spans="1:10" s="106" customFormat="1" ht="15" customHeight="1">
      <c r="A1329" s="1557"/>
      <c r="B1329" s="1560"/>
      <c r="C1329" s="1563"/>
      <c r="D1329" s="1566"/>
      <c r="E1329" s="358" t="s">
        <v>431</v>
      </c>
      <c r="F1329" s="359">
        <f t="shared" si="108"/>
        <v>190</v>
      </c>
      <c r="G1329" s="359"/>
      <c r="H1329" s="359">
        <v>190</v>
      </c>
      <c r="I1329" s="359"/>
      <c r="J1329" s="360"/>
    </row>
    <row r="1330" spans="1:10" s="106" customFormat="1" ht="15" customHeight="1">
      <c r="A1330" s="1557"/>
      <c r="B1330" s="1560"/>
      <c r="C1330" s="1563"/>
      <c r="D1330" s="1566"/>
      <c r="E1330" s="358" t="s">
        <v>373</v>
      </c>
      <c r="F1330" s="359">
        <f t="shared" si="108"/>
        <v>34</v>
      </c>
      <c r="G1330" s="359">
        <v>22</v>
      </c>
      <c r="H1330" s="359"/>
      <c r="I1330" s="359">
        <v>12</v>
      </c>
      <c r="J1330" s="360"/>
    </row>
    <row r="1331" spans="1:10" s="106" customFormat="1" ht="15" customHeight="1">
      <c r="A1331" s="1557"/>
      <c r="B1331" s="1560"/>
      <c r="C1331" s="1563"/>
      <c r="D1331" s="1566"/>
      <c r="E1331" s="358" t="s">
        <v>397</v>
      </c>
      <c r="F1331" s="359">
        <f t="shared" si="108"/>
        <v>30822</v>
      </c>
      <c r="G1331" s="359"/>
      <c r="H1331" s="359">
        <v>30822</v>
      </c>
      <c r="I1331" s="359"/>
      <c r="J1331" s="360"/>
    </row>
    <row r="1332" spans="1:10" s="106" customFormat="1" ht="15" customHeight="1">
      <c r="A1332" s="1557"/>
      <c r="B1332" s="1560"/>
      <c r="C1332" s="1563"/>
      <c r="D1332" s="1566"/>
      <c r="E1332" s="358" t="s">
        <v>342</v>
      </c>
      <c r="F1332" s="359">
        <f t="shared" si="108"/>
        <v>5440</v>
      </c>
      <c r="G1332" s="359">
        <v>3626</v>
      </c>
      <c r="H1332" s="359"/>
      <c r="I1332" s="359">
        <v>1814</v>
      </c>
      <c r="J1332" s="360"/>
    </row>
    <row r="1333" spans="1:10" s="106" customFormat="1" ht="15" customHeight="1">
      <c r="A1333" s="1557"/>
      <c r="B1333" s="1560"/>
      <c r="C1333" s="1563"/>
      <c r="D1333" s="1566"/>
      <c r="E1333" s="358" t="s">
        <v>432</v>
      </c>
      <c r="F1333" s="359">
        <f t="shared" si="108"/>
        <v>96</v>
      </c>
      <c r="G1333" s="359"/>
      <c r="H1333" s="359">
        <v>96</v>
      </c>
      <c r="I1333" s="359"/>
      <c r="J1333" s="360"/>
    </row>
    <row r="1334" spans="1:10" s="106" customFormat="1" ht="15" customHeight="1">
      <c r="A1334" s="1557"/>
      <c r="B1334" s="1560"/>
      <c r="C1334" s="1563"/>
      <c r="D1334" s="1566"/>
      <c r="E1334" s="358" t="s">
        <v>433</v>
      </c>
      <c r="F1334" s="359">
        <f t="shared" si="108"/>
        <v>17</v>
      </c>
      <c r="G1334" s="359">
        <v>11</v>
      </c>
      <c r="H1334" s="359"/>
      <c r="I1334" s="359">
        <v>6</v>
      </c>
      <c r="J1334" s="360"/>
    </row>
    <row r="1335" spans="1:10" s="106" customFormat="1" ht="15" customHeight="1">
      <c r="A1335" s="1557"/>
      <c r="B1335" s="1560"/>
      <c r="C1335" s="1563"/>
      <c r="D1335" s="1566"/>
      <c r="E1335" s="358" t="s">
        <v>403</v>
      </c>
      <c r="F1335" s="359">
        <f t="shared" si="108"/>
        <v>17238</v>
      </c>
      <c r="G1335" s="359"/>
      <c r="H1335" s="359">
        <v>17238</v>
      </c>
      <c r="I1335" s="359"/>
      <c r="J1335" s="360"/>
    </row>
    <row r="1336" spans="1:10" s="106" customFormat="1" ht="15" customHeight="1">
      <c r="A1336" s="1557"/>
      <c r="B1336" s="1560"/>
      <c r="C1336" s="1563"/>
      <c r="D1336" s="1566"/>
      <c r="E1336" s="358" t="s">
        <v>379</v>
      </c>
      <c r="F1336" s="359">
        <f t="shared" si="108"/>
        <v>3042</v>
      </c>
      <c r="G1336" s="359">
        <v>2028</v>
      </c>
      <c r="H1336" s="359"/>
      <c r="I1336" s="359">
        <v>1014</v>
      </c>
      <c r="J1336" s="360"/>
    </row>
    <row r="1337" spans="1:10" s="106" customFormat="1" ht="24.95" customHeight="1">
      <c r="A1337" s="1557"/>
      <c r="B1337" s="1560"/>
      <c r="C1337" s="1563"/>
      <c r="D1337" s="1566"/>
      <c r="E1337" s="361" t="s">
        <v>318</v>
      </c>
      <c r="F1337" s="356">
        <f>SUM(F1338:F1339)</f>
        <v>53700</v>
      </c>
      <c r="G1337" s="356">
        <f>SUM(G1338:G1339)</f>
        <v>5370</v>
      </c>
      <c r="H1337" s="356">
        <f>SUM(H1338:H1339)</f>
        <v>45645</v>
      </c>
      <c r="I1337" s="356">
        <f>SUM(I1338:I1339)</f>
        <v>2685</v>
      </c>
      <c r="J1337" s="357">
        <f>SUM(J1338:J1339)</f>
        <v>0</v>
      </c>
    </row>
    <row r="1338" spans="1:10" s="106" customFormat="1" ht="15" customHeight="1">
      <c r="A1338" s="1557"/>
      <c r="B1338" s="1560"/>
      <c r="C1338" s="1563"/>
      <c r="D1338" s="1566"/>
      <c r="E1338" s="358" t="s">
        <v>408</v>
      </c>
      <c r="F1338" s="359">
        <f>SUM(G1338:J1338)</f>
        <v>45645</v>
      </c>
      <c r="G1338" s="359"/>
      <c r="H1338" s="359">
        <v>45645</v>
      </c>
      <c r="I1338" s="359"/>
      <c r="J1338" s="360"/>
    </row>
    <row r="1339" spans="1:10" s="106" customFormat="1" ht="15" customHeight="1">
      <c r="A1339" s="1558"/>
      <c r="B1339" s="1561"/>
      <c r="C1339" s="1564"/>
      <c r="D1339" s="1567"/>
      <c r="E1339" s="396">
        <v>6069</v>
      </c>
      <c r="F1339" s="359">
        <f>SUM(G1339:J1339)</f>
        <v>8055</v>
      </c>
      <c r="G1339" s="359">
        <v>5370</v>
      </c>
      <c r="H1339" s="359"/>
      <c r="I1339" s="359">
        <v>2685</v>
      </c>
      <c r="J1339" s="360"/>
    </row>
    <row r="1340" spans="1:10" s="106" customFormat="1" ht="24.95" customHeight="1">
      <c r="A1340" s="419" t="s">
        <v>546</v>
      </c>
      <c r="B1340" s="1574" t="s">
        <v>547</v>
      </c>
      <c r="C1340" s="1575"/>
      <c r="D1340" s="1575"/>
      <c r="E1340" s="1576"/>
      <c r="F1340" s="420">
        <f>F1342</f>
        <v>201488</v>
      </c>
      <c r="G1340" s="420">
        <f>G1342</f>
        <v>20149</v>
      </c>
      <c r="H1340" s="420">
        <f t="shared" ref="H1340:J1340" si="109">H1342</f>
        <v>171265</v>
      </c>
      <c r="I1340" s="420">
        <f t="shared" si="109"/>
        <v>10074</v>
      </c>
      <c r="J1340" s="421">
        <f t="shared" si="109"/>
        <v>0</v>
      </c>
    </row>
    <row r="1341" spans="1:10" s="106" customFormat="1" ht="15" customHeight="1">
      <c r="A1341" s="1577"/>
      <c r="B1341" s="1578"/>
      <c r="C1341" s="1578"/>
      <c r="D1341" s="1578"/>
      <c r="E1341" s="1578"/>
      <c r="F1341" s="1578"/>
      <c r="G1341" s="1578"/>
      <c r="H1341" s="1578"/>
      <c r="I1341" s="1578"/>
      <c r="J1341" s="1579"/>
    </row>
    <row r="1342" spans="1:10" s="106" customFormat="1" ht="24.95" customHeight="1">
      <c r="A1342" s="1556" t="s">
        <v>313</v>
      </c>
      <c r="B1342" s="1559" t="s">
        <v>536</v>
      </c>
      <c r="C1342" s="1562">
        <v>801</v>
      </c>
      <c r="D1342" s="1565" t="s">
        <v>537</v>
      </c>
      <c r="E1342" s="350" t="s">
        <v>315</v>
      </c>
      <c r="F1342" s="351">
        <f>SUM(F1343,F1368)</f>
        <v>201488</v>
      </c>
      <c r="G1342" s="351">
        <f>SUM(G1343,G1368)</f>
        <v>20149</v>
      </c>
      <c r="H1342" s="351">
        <f>SUM(H1343,H1368)</f>
        <v>171265</v>
      </c>
      <c r="I1342" s="351">
        <f>SUM(I1343,I1368)</f>
        <v>10074</v>
      </c>
      <c r="J1342" s="352">
        <f>SUM(J1343,J1368)</f>
        <v>0</v>
      </c>
    </row>
    <row r="1343" spans="1:10" s="106" customFormat="1" ht="24.95" customHeight="1">
      <c r="A1343" s="1557"/>
      <c r="B1343" s="1560"/>
      <c r="C1343" s="1563"/>
      <c r="D1343" s="1566"/>
      <c r="E1343" s="355" t="s">
        <v>332</v>
      </c>
      <c r="F1343" s="356">
        <f>SUM(F1344,F1353)</f>
        <v>144020</v>
      </c>
      <c r="G1343" s="356">
        <f>SUM(G1344,G1353)</f>
        <v>14402</v>
      </c>
      <c r="H1343" s="356">
        <f>SUM(H1344,H1353)</f>
        <v>122417</v>
      </c>
      <c r="I1343" s="356">
        <f>SUM(I1344,I1353)</f>
        <v>7201</v>
      </c>
      <c r="J1343" s="357">
        <f>SUM(J1344,J1353)</f>
        <v>0</v>
      </c>
    </row>
    <row r="1344" spans="1:10" s="106" customFormat="1" ht="24.95" customHeight="1">
      <c r="A1344" s="1557"/>
      <c r="B1344" s="1560"/>
      <c r="C1344" s="1563"/>
      <c r="D1344" s="1566"/>
      <c r="E1344" s="393" t="s">
        <v>333</v>
      </c>
      <c r="F1344" s="394">
        <f>SUM(F1345:F1352)</f>
        <v>17452</v>
      </c>
      <c r="G1344" s="394">
        <f>SUM(G1345:G1352)</f>
        <v>1745</v>
      </c>
      <c r="H1344" s="394">
        <f>SUM(H1345:H1352)</f>
        <v>14834</v>
      </c>
      <c r="I1344" s="394">
        <f>SUM(I1345:I1352)</f>
        <v>873</v>
      </c>
      <c r="J1344" s="395">
        <f>SUM(J1345:J1352)</f>
        <v>0</v>
      </c>
    </row>
    <row r="1345" spans="1:10" s="106" customFormat="1" ht="15" customHeight="1">
      <c r="A1345" s="1557"/>
      <c r="B1345" s="1560"/>
      <c r="C1345" s="1563"/>
      <c r="D1345" s="1566"/>
      <c r="E1345" s="358" t="s">
        <v>391</v>
      </c>
      <c r="F1345" s="359">
        <f>SUM(G1345:J1345)</f>
        <v>12399</v>
      </c>
      <c r="G1345" s="359"/>
      <c r="H1345" s="359">
        <v>12399</v>
      </c>
      <c r="I1345" s="359"/>
      <c r="J1345" s="360"/>
    </row>
    <row r="1346" spans="1:10" s="106" customFormat="1" ht="15" customHeight="1">
      <c r="A1346" s="1557"/>
      <c r="B1346" s="1560"/>
      <c r="C1346" s="1563"/>
      <c r="D1346" s="1566"/>
      <c r="E1346" s="358" t="s">
        <v>363</v>
      </c>
      <c r="F1346" s="359">
        <f>SUM(G1346:J1346)</f>
        <v>2188</v>
      </c>
      <c r="G1346" s="359">
        <v>1458</v>
      </c>
      <c r="H1346" s="359"/>
      <c r="I1346" s="359">
        <v>730</v>
      </c>
      <c r="J1346" s="360"/>
    </row>
    <row r="1347" spans="1:10" s="106" customFormat="1" ht="15" customHeight="1">
      <c r="A1347" s="1557"/>
      <c r="B1347" s="1560"/>
      <c r="C1347" s="1563"/>
      <c r="D1347" s="1566"/>
      <c r="E1347" s="358" t="s">
        <v>393</v>
      </c>
      <c r="F1347" s="359">
        <f>SUM(G1347:J1347)</f>
        <v>2132</v>
      </c>
      <c r="G1347" s="359"/>
      <c r="H1347" s="359">
        <v>2132</v>
      </c>
      <c r="I1347" s="359"/>
      <c r="J1347" s="360"/>
    </row>
    <row r="1348" spans="1:10" s="106" customFormat="1" ht="15" customHeight="1">
      <c r="A1348" s="1557"/>
      <c r="B1348" s="1560"/>
      <c r="C1348" s="1563"/>
      <c r="D1348" s="1566"/>
      <c r="E1348" s="358" t="s">
        <v>335</v>
      </c>
      <c r="F1348" s="359">
        <f>SUM(G1348:J1348)</f>
        <v>376</v>
      </c>
      <c r="G1348" s="359">
        <v>251</v>
      </c>
      <c r="H1348" s="359"/>
      <c r="I1348" s="359">
        <v>125</v>
      </c>
      <c r="J1348" s="360"/>
    </row>
    <row r="1349" spans="1:10" s="106" customFormat="1" ht="15" customHeight="1">
      <c r="A1349" s="1557"/>
      <c r="B1349" s="1560"/>
      <c r="C1349" s="1563"/>
      <c r="D1349" s="1566"/>
      <c r="E1349" s="358" t="s">
        <v>394</v>
      </c>
      <c r="F1349" s="359">
        <f t="shared" ref="F1349:F1351" si="110">SUM(G1349:J1349)</f>
        <v>303</v>
      </c>
      <c r="G1349" s="359"/>
      <c r="H1349" s="359">
        <v>303</v>
      </c>
      <c r="I1349" s="359"/>
      <c r="J1349" s="360"/>
    </row>
    <row r="1350" spans="1:10" s="106" customFormat="1" ht="15" customHeight="1">
      <c r="A1350" s="1557"/>
      <c r="B1350" s="1560"/>
      <c r="C1350" s="1563"/>
      <c r="D1350" s="1566"/>
      <c r="E1350" s="358" t="s">
        <v>367</v>
      </c>
      <c r="F1350" s="359">
        <f t="shared" si="110"/>
        <v>54</v>
      </c>
      <c r="G1350" s="359">
        <v>36</v>
      </c>
      <c r="H1350" s="359"/>
      <c r="I1350" s="359">
        <v>18</v>
      </c>
      <c r="J1350" s="360"/>
    </row>
    <row r="1351" spans="1:10" s="106" customFormat="1" ht="15" hidden="1" customHeight="1">
      <c r="A1351" s="1557"/>
      <c r="B1351" s="1560"/>
      <c r="C1351" s="1563"/>
      <c r="D1351" s="1566"/>
      <c r="E1351" s="358" t="s">
        <v>395</v>
      </c>
      <c r="F1351" s="359">
        <f t="shared" si="110"/>
        <v>0</v>
      </c>
      <c r="G1351" s="359"/>
      <c r="H1351" s="359"/>
      <c r="I1351" s="359"/>
      <c r="J1351" s="360"/>
    </row>
    <row r="1352" spans="1:10" s="106" customFormat="1" ht="15" hidden="1" customHeight="1">
      <c r="A1352" s="1557"/>
      <c r="B1352" s="1560"/>
      <c r="C1352" s="1563"/>
      <c r="D1352" s="1566"/>
      <c r="E1352" s="358" t="s">
        <v>337</v>
      </c>
      <c r="F1352" s="359">
        <f>SUM(G1352:J1352)</f>
        <v>0</v>
      </c>
      <c r="G1352" s="359"/>
      <c r="H1352" s="359"/>
      <c r="I1352" s="359"/>
      <c r="J1352" s="360"/>
    </row>
    <row r="1353" spans="1:10" s="106" customFormat="1" ht="24.95" customHeight="1">
      <c r="A1353" s="1557"/>
      <c r="B1353" s="1560"/>
      <c r="C1353" s="1563"/>
      <c r="D1353" s="1566"/>
      <c r="E1353" s="393" t="s">
        <v>338</v>
      </c>
      <c r="F1353" s="394">
        <f>SUM(F1354:F1367)</f>
        <v>126568</v>
      </c>
      <c r="G1353" s="394">
        <f>SUM(G1354:G1367)</f>
        <v>12657</v>
      </c>
      <c r="H1353" s="394">
        <f>SUM(H1354:H1367)</f>
        <v>107583</v>
      </c>
      <c r="I1353" s="394">
        <f>SUM(I1354:I1367)</f>
        <v>6328</v>
      </c>
      <c r="J1353" s="395">
        <f>SUM(J1354:J1367)</f>
        <v>0</v>
      </c>
    </row>
    <row r="1354" spans="1:10" s="106" customFormat="1" ht="15" customHeight="1">
      <c r="A1354" s="1557"/>
      <c r="B1354" s="1560"/>
      <c r="C1354" s="1563"/>
      <c r="D1354" s="1566"/>
      <c r="E1354" s="358" t="s">
        <v>429</v>
      </c>
      <c r="F1354" s="359">
        <f t="shared" ref="F1354:F1367" si="111">SUM(G1354:J1354)</f>
        <v>21194</v>
      </c>
      <c r="G1354" s="359"/>
      <c r="H1354" s="359">
        <v>21194</v>
      </c>
      <c r="I1354" s="359"/>
      <c r="J1354" s="360"/>
    </row>
    <row r="1355" spans="1:10" s="106" customFormat="1" ht="15" customHeight="1">
      <c r="A1355" s="1557"/>
      <c r="B1355" s="1560"/>
      <c r="C1355" s="1563"/>
      <c r="D1355" s="1566"/>
      <c r="E1355" s="358" t="s">
        <v>430</v>
      </c>
      <c r="F1355" s="359">
        <f t="shared" si="111"/>
        <v>3741</v>
      </c>
      <c r="G1355" s="359">
        <v>2494</v>
      </c>
      <c r="H1355" s="359"/>
      <c r="I1355" s="359">
        <v>1247</v>
      </c>
      <c r="J1355" s="360"/>
    </row>
    <row r="1356" spans="1:10" s="106" customFormat="1" ht="15" customHeight="1">
      <c r="A1356" s="1557"/>
      <c r="B1356" s="1560"/>
      <c r="C1356" s="1563"/>
      <c r="D1356" s="1566"/>
      <c r="E1356" s="358" t="s">
        <v>396</v>
      </c>
      <c r="F1356" s="359">
        <f t="shared" si="111"/>
        <v>717</v>
      </c>
      <c r="G1356" s="359"/>
      <c r="H1356" s="359">
        <v>717</v>
      </c>
      <c r="I1356" s="359"/>
      <c r="J1356" s="360"/>
    </row>
    <row r="1357" spans="1:10" s="106" customFormat="1" ht="15" customHeight="1">
      <c r="A1357" s="1557"/>
      <c r="B1357" s="1560"/>
      <c r="C1357" s="1563"/>
      <c r="D1357" s="1566"/>
      <c r="E1357" s="358" t="s">
        <v>340</v>
      </c>
      <c r="F1357" s="359">
        <f t="shared" si="111"/>
        <v>126</v>
      </c>
      <c r="G1357" s="359">
        <v>84</v>
      </c>
      <c r="H1357" s="359"/>
      <c r="I1357" s="359">
        <v>42</v>
      </c>
      <c r="J1357" s="360"/>
    </row>
    <row r="1358" spans="1:10" s="106" customFormat="1" ht="15" customHeight="1">
      <c r="A1358" s="1557"/>
      <c r="B1358" s="1560"/>
      <c r="C1358" s="1563"/>
      <c r="D1358" s="1566"/>
      <c r="E1358" s="358" t="s">
        <v>538</v>
      </c>
      <c r="F1358" s="359">
        <f t="shared" si="111"/>
        <v>22467</v>
      </c>
      <c r="G1358" s="359"/>
      <c r="H1358" s="359">
        <v>22467</v>
      </c>
      <c r="I1358" s="359"/>
      <c r="J1358" s="360"/>
    </row>
    <row r="1359" spans="1:10" s="106" customFormat="1" ht="15" customHeight="1">
      <c r="A1359" s="1557"/>
      <c r="B1359" s="1560"/>
      <c r="C1359" s="1563"/>
      <c r="D1359" s="1566"/>
      <c r="E1359" s="358" t="s">
        <v>539</v>
      </c>
      <c r="F1359" s="359">
        <f t="shared" si="111"/>
        <v>3965</v>
      </c>
      <c r="G1359" s="359">
        <v>2643</v>
      </c>
      <c r="H1359" s="359"/>
      <c r="I1359" s="359">
        <v>1322</v>
      </c>
      <c r="J1359" s="360"/>
    </row>
    <row r="1360" spans="1:10" s="106" customFormat="1" ht="15" customHeight="1">
      <c r="A1360" s="1557"/>
      <c r="B1360" s="1560"/>
      <c r="C1360" s="1563"/>
      <c r="D1360" s="1566"/>
      <c r="E1360" s="358" t="s">
        <v>431</v>
      </c>
      <c r="F1360" s="359">
        <f t="shared" si="111"/>
        <v>239</v>
      </c>
      <c r="G1360" s="359"/>
      <c r="H1360" s="359">
        <v>239</v>
      </c>
      <c r="I1360" s="359"/>
      <c r="J1360" s="360"/>
    </row>
    <row r="1361" spans="1:10" s="106" customFormat="1" ht="15" customHeight="1">
      <c r="A1361" s="1557"/>
      <c r="B1361" s="1560"/>
      <c r="C1361" s="1563"/>
      <c r="D1361" s="1566"/>
      <c r="E1361" s="358" t="s">
        <v>373</v>
      </c>
      <c r="F1361" s="359">
        <f t="shared" si="111"/>
        <v>42</v>
      </c>
      <c r="G1361" s="359">
        <v>28</v>
      </c>
      <c r="H1361" s="359"/>
      <c r="I1361" s="359">
        <v>14</v>
      </c>
      <c r="J1361" s="360"/>
    </row>
    <row r="1362" spans="1:10" s="106" customFormat="1" ht="15" customHeight="1">
      <c r="A1362" s="1557"/>
      <c r="B1362" s="1560"/>
      <c r="C1362" s="1563"/>
      <c r="D1362" s="1566"/>
      <c r="E1362" s="358" t="s">
        <v>397</v>
      </c>
      <c r="F1362" s="359">
        <f t="shared" si="111"/>
        <v>41553</v>
      </c>
      <c r="G1362" s="359"/>
      <c r="H1362" s="359">
        <v>41553</v>
      </c>
      <c r="I1362" s="359"/>
      <c r="J1362" s="360"/>
    </row>
    <row r="1363" spans="1:10" s="106" customFormat="1" ht="15" customHeight="1">
      <c r="A1363" s="1557"/>
      <c r="B1363" s="1560"/>
      <c r="C1363" s="1563"/>
      <c r="D1363" s="1566"/>
      <c r="E1363" s="358" t="s">
        <v>342</v>
      </c>
      <c r="F1363" s="359">
        <f t="shared" si="111"/>
        <v>7333</v>
      </c>
      <c r="G1363" s="359">
        <v>4889</v>
      </c>
      <c r="H1363" s="359"/>
      <c r="I1363" s="359">
        <v>2444</v>
      </c>
      <c r="J1363" s="360"/>
    </row>
    <row r="1364" spans="1:10" s="106" customFormat="1" ht="15" customHeight="1">
      <c r="A1364" s="1557"/>
      <c r="B1364" s="1560"/>
      <c r="C1364" s="1563"/>
      <c r="D1364" s="1566"/>
      <c r="E1364" s="358" t="s">
        <v>432</v>
      </c>
      <c r="F1364" s="359">
        <f t="shared" si="111"/>
        <v>119</v>
      </c>
      <c r="G1364" s="359"/>
      <c r="H1364" s="359">
        <v>119</v>
      </c>
      <c r="I1364" s="359"/>
      <c r="J1364" s="360"/>
    </row>
    <row r="1365" spans="1:10" s="106" customFormat="1" ht="15" customHeight="1">
      <c r="A1365" s="1557"/>
      <c r="B1365" s="1560"/>
      <c r="C1365" s="1563"/>
      <c r="D1365" s="1566"/>
      <c r="E1365" s="358" t="s">
        <v>433</v>
      </c>
      <c r="F1365" s="359">
        <f t="shared" si="111"/>
        <v>21</v>
      </c>
      <c r="G1365" s="359">
        <v>14</v>
      </c>
      <c r="H1365" s="359"/>
      <c r="I1365" s="359">
        <v>7</v>
      </c>
      <c r="J1365" s="360"/>
    </row>
    <row r="1366" spans="1:10" s="106" customFormat="1" ht="15" customHeight="1">
      <c r="A1366" s="1557"/>
      <c r="B1366" s="1560"/>
      <c r="C1366" s="1563"/>
      <c r="D1366" s="1566"/>
      <c r="E1366" s="358" t="s">
        <v>403</v>
      </c>
      <c r="F1366" s="359">
        <f t="shared" si="111"/>
        <v>21294</v>
      </c>
      <c r="G1366" s="359"/>
      <c r="H1366" s="359">
        <v>21294</v>
      </c>
      <c r="I1366" s="359"/>
      <c r="J1366" s="360"/>
    </row>
    <row r="1367" spans="1:10" s="106" customFormat="1" ht="15" customHeight="1">
      <c r="A1367" s="1557"/>
      <c r="B1367" s="1560"/>
      <c r="C1367" s="1563"/>
      <c r="D1367" s="1566"/>
      <c r="E1367" s="358" t="s">
        <v>379</v>
      </c>
      <c r="F1367" s="359">
        <f t="shared" si="111"/>
        <v>3757</v>
      </c>
      <c r="G1367" s="359">
        <v>2505</v>
      </c>
      <c r="H1367" s="359"/>
      <c r="I1367" s="359">
        <v>1252</v>
      </c>
      <c r="J1367" s="360"/>
    </row>
    <row r="1368" spans="1:10" s="106" customFormat="1" ht="24.95" customHeight="1">
      <c r="A1368" s="1557"/>
      <c r="B1368" s="1560"/>
      <c r="C1368" s="1563"/>
      <c r="D1368" s="1566"/>
      <c r="E1368" s="361" t="s">
        <v>318</v>
      </c>
      <c r="F1368" s="356">
        <f>SUM(F1369:F1370)</f>
        <v>57468</v>
      </c>
      <c r="G1368" s="356">
        <f>SUM(G1369:G1370)</f>
        <v>5747</v>
      </c>
      <c r="H1368" s="356">
        <f>SUM(H1369:H1370)</f>
        <v>48848</v>
      </c>
      <c r="I1368" s="356">
        <f>SUM(I1369:I1370)</f>
        <v>2873</v>
      </c>
      <c r="J1368" s="357">
        <f>SUM(J1369:J1370)</f>
        <v>0</v>
      </c>
    </row>
    <row r="1369" spans="1:10" s="106" customFormat="1" ht="15" customHeight="1">
      <c r="A1369" s="1557"/>
      <c r="B1369" s="1560"/>
      <c r="C1369" s="1563"/>
      <c r="D1369" s="1566"/>
      <c r="E1369" s="358" t="s">
        <v>408</v>
      </c>
      <c r="F1369" s="359">
        <f>SUM(G1369:J1369)</f>
        <v>48848</v>
      </c>
      <c r="G1369" s="359"/>
      <c r="H1369" s="359">
        <v>48848</v>
      </c>
      <c r="I1369" s="359"/>
      <c r="J1369" s="360"/>
    </row>
    <row r="1370" spans="1:10" s="106" customFormat="1" ht="15" customHeight="1">
      <c r="A1370" s="1558"/>
      <c r="B1370" s="1561"/>
      <c r="C1370" s="1564"/>
      <c r="D1370" s="1567"/>
      <c r="E1370" s="396">
        <v>6069</v>
      </c>
      <c r="F1370" s="359">
        <f>SUM(G1370:J1370)</f>
        <v>8620</v>
      </c>
      <c r="G1370" s="359">
        <v>5747</v>
      </c>
      <c r="H1370" s="359"/>
      <c r="I1370" s="359">
        <v>2873</v>
      </c>
      <c r="J1370" s="360"/>
    </row>
    <row r="1371" spans="1:10" s="106" customFormat="1" ht="24.95" customHeight="1">
      <c r="A1371" s="419" t="s">
        <v>548</v>
      </c>
      <c r="B1371" s="1574" t="s">
        <v>549</v>
      </c>
      <c r="C1371" s="1575"/>
      <c r="D1371" s="1575"/>
      <c r="E1371" s="1576"/>
      <c r="F1371" s="420">
        <f>F1373</f>
        <v>155959</v>
      </c>
      <c r="G1371" s="420">
        <f>G1373</f>
        <v>15596</v>
      </c>
      <c r="H1371" s="420">
        <f t="shared" ref="H1371:J1371" si="112">H1373</f>
        <v>132565</v>
      </c>
      <c r="I1371" s="420">
        <f t="shared" si="112"/>
        <v>7798</v>
      </c>
      <c r="J1371" s="421">
        <f t="shared" si="112"/>
        <v>0</v>
      </c>
    </row>
    <row r="1372" spans="1:10" s="106" customFormat="1" ht="15" customHeight="1">
      <c r="A1372" s="1577"/>
      <c r="B1372" s="1578"/>
      <c r="C1372" s="1578"/>
      <c r="D1372" s="1578"/>
      <c r="E1372" s="1578"/>
      <c r="F1372" s="1578"/>
      <c r="G1372" s="1578"/>
      <c r="H1372" s="1578"/>
      <c r="I1372" s="1578"/>
      <c r="J1372" s="1579"/>
    </row>
    <row r="1373" spans="1:10" s="106" customFormat="1" ht="24.95" customHeight="1">
      <c r="A1373" s="1556" t="s">
        <v>313</v>
      </c>
      <c r="B1373" s="1559" t="s">
        <v>536</v>
      </c>
      <c r="C1373" s="1562">
        <v>801</v>
      </c>
      <c r="D1373" s="1565" t="s">
        <v>537</v>
      </c>
      <c r="E1373" s="350" t="s">
        <v>315</v>
      </c>
      <c r="F1373" s="351">
        <f>SUM(F1374,F1399)</f>
        <v>155959</v>
      </c>
      <c r="G1373" s="351">
        <f>SUM(G1374,G1399)</f>
        <v>15596</v>
      </c>
      <c r="H1373" s="351">
        <f>SUM(H1374,H1399)</f>
        <v>132565</v>
      </c>
      <c r="I1373" s="351">
        <f>SUM(I1374,I1399)</f>
        <v>7798</v>
      </c>
      <c r="J1373" s="352">
        <f>SUM(J1374,J1399)</f>
        <v>0</v>
      </c>
    </row>
    <row r="1374" spans="1:10" s="106" customFormat="1" ht="24.95" customHeight="1">
      <c r="A1374" s="1557"/>
      <c r="B1374" s="1560"/>
      <c r="C1374" s="1563"/>
      <c r="D1374" s="1566"/>
      <c r="E1374" s="355" t="s">
        <v>332</v>
      </c>
      <c r="F1374" s="356">
        <f>SUM(F1375,F1384)</f>
        <v>111139</v>
      </c>
      <c r="G1374" s="356">
        <f>SUM(G1375,G1384)</f>
        <v>11114</v>
      </c>
      <c r="H1374" s="356">
        <f>SUM(H1375,H1384)</f>
        <v>94468</v>
      </c>
      <c r="I1374" s="356">
        <f>SUM(I1375,I1384)</f>
        <v>5557</v>
      </c>
      <c r="J1374" s="357">
        <f>SUM(J1375,J1384)</f>
        <v>0</v>
      </c>
    </row>
    <row r="1375" spans="1:10" s="106" customFormat="1" ht="24.95" customHeight="1">
      <c r="A1375" s="1557"/>
      <c r="B1375" s="1560"/>
      <c r="C1375" s="1563"/>
      <c r="D1375" s="1566"/>
      <c r="E1375" s="393" t="s">
        <v>333</v>
      </c>
      <c r="F1375" s="394">
        <f>SUM(F1376:F1383)</f>
        <v>33073</v>
      </c>
      <c r="G1375" s="394">
        <f>SUM(G1376:G1383)</f>
        <v>3308</v>
      </c>
      <c r="H1375" s="394">
        <f>SUM(H1376:H1383)</f>
        <v>28112</v>
      </c>
      <c r="I1375" s="394">
        <f>SUM(I1376:I1383)</f>
        <v>1653</v>
      </c>
      <c r="J1375" s="395">
        <f>SUM(J1376:J1383)</f>
        <v>0</v>
      </c>
    </row>
    <row r="1376" spans="1:10" s="106" customFormat="1" ht="15" customHeight="1">
      <c r="A1376" s="1557"/>
      <c r="B1376" s="1560"/>
      <c r="C1376" s="1563"/>
      <c r="D1376" s="1566"/>
      <c r="E1376" s="358" t="s">
        <v>391</v>
      </c>
      <c r="F1376" s="359">
        <f>SUM(G1376:J1376)</f>
        <v>22590</v>
      </c>
      <c r="G1376" s="359"/>
      <c r="H1376" s="359">
        <v>22590</v>
      </c>
      <c r="I1376" s="359"/>
      <c r="J1376" s="360"/>
    </row>
    <row r="1377" spans="1:10" s="106" customFormat="1" ht="15" customHeight="1">
      <c r="A1377" s="1557"/>
      <c r="B1377" s="1560"/>
      <c r="C1377" s="1563"/>
      <c r="D1377" s="1566"/>
      <c r="E1377" s="358" t="s">
        <v>363</v>
      </c>
      <c r="F1377" s="359">
        <f>SUM(G1377:J1377)</f>
        <v>3986</v>
      </c>
      <c r="G1377" s="359">
        <v>2658</v>
      </c>
      <c r="H1377" s="359"/>
      <c r="I1377" s="359">
        <v>1328</v>
      </c>
      <c r="J1377" s="360"/>
    </row>
    <row r="1378" spans="1:10" s="106" customFormat="1" ht="15" customHeight="1">
      <c r="A1378" s="1557"/>
      <c r="B1378" s="1560"/>
      <c r="C1378" s="1563"/>
      <c r="D1378" s="1566"/>
      <c r="E1378" s="358" t="s">
        <v>393</v>
      </c>
      <c r="F1378" s="359">
        <f>SUM(G1378:J1378)</f>
        <v>4833</v>
      </c>
      <c r="G1378" s="359"/>
      <c r="H1378" s="359">
        <v>4833</v>
      </c>
      <c r="I1378" s="359"/>
      <c r="J1378" s="360"/>
    </row>
    <row r="1379" spans="1:10" s="106" customFormat="1" ht="15" customHeight="1">
      <c r="A1379" s="1557"/>
      <c r="B1379" s="1560"/>
      <c r="C1379" s="1563"/>
      <c r="D1379" s="1566"/>
      <c r="E1379" s="358" t="s">
        <v>335</v>
      </c>
      <c r="F1379" s="359">
        <f>SUM(G1379:J1379)</f>
        <v>853</v>
      </c>
      <c r="G1379" s="359">
        <v>569</v>
      </c>
      <c r="H1379" s="359"/>
      <c r="I1379" s="359">
        <v>284</v>
      </c>
      <c r="J1379" s="360"/>
    </row>
    <row r="1380" spans="1:10" s="106" customFormat="1" ht="15" customHeight="1">
      <c r="A1380" s="1557"/>
      <c r="B1380" s="1560"/>
      <c r="C1380" s="1563"/>
      <c r="D1380" s="1566"/>
      <c r="E1380" s="358" t="s">
        <v>394</v>
      </c>
      <c r="F1380" s="359">
        <f t="shared" ref="F1380:F1382" si="113">SUM(G1380:J1380)</f>
        <v>689</v>
      </c>
      <c r="G1380" s="359"/>
      <c r="H1380" s="359">
        <v>689</v>
      </c>
      <c r="I1380" s="359"/>
      <c r="J1380" s="360"/>
    </row>
    <row r="1381" spans="1:10" s="106" customFormat="1" ht="15" customHeight="1">
      <c r="A1381" s="1557"/>
      <c r="B1381" s="1560"/>
      <c r="C1381" s="1563"/>
      <c r="D1381" s="1566"/>
      <c r="E1381" s="358" t="s">
        <v>367</v>
      </c>
      <c r="F1381" s="359">
        <f t="shared" si="113"/>
        <v>122</v>
      </c>
      <c r="G1381" s="359">
        <v>81</v>
      </c>
      <c r="H1381" s="359"/>
      <c r="I1381" s="359">
        <v>41</v>
      </c>
      <c r="J1381" s="360"/>
    </row>
    <row r="1382" spans="1:10" s="106" customFormat="1" ht="15" hidden="1" customHeight="1">
      <c r="A1382" s="1557"/>
      <c r="B1382" s="1560"/>
      <c r="C1382" s="1563"/>
      <c r="D1382" s="1566"/>
      <c r="E1382" s="358" t="s">
        <v>395</v>
      </c>
      <c r="F1382" s="359">
        <f t="shared" si="113"/>
        <v>0</v>
      </c>
      <c r="G1382" s="359"/>
      <c r="H1382" s="359"/>
      <c r="I1382" s="359"/>
      <c r="J1382" s="360"/>
    </row>
    <row r="1383" spans="1:10" s="106" customFormat="1" ht="15" hidden="1" customHeight="1">
      <c r="A1383" s="1557"/>
      <c r="B1383" s="1560"/>
      <c r="C1383" s="1563"/>
      <c r="D1383" s="1566"/>
      <c r="E1383" s="358" t="s">
        <v>337</v>
      </c>
      <c r="F1383" s="359">
        <f>SUM(G1383:J1383)</f>
        <v>0</v>
      </c>
      <c r="G1383" s="359"/>
      <c r="H1383" s="359"/>
      <c r="I1383" s="359"/>
      <c r="J1383" s="360"/>
    </row>
    <row r="1384" spans="1:10" s="106" customFormat="1" ht="24.95" customHeight="1">
      <c r="A1384" s="1557"/>
      <c r="B1384" s="1560"/>
      <c r="C1384" s="1563"/>
      <c r="D1384" s="1566"/>
      <c r="E1384" s="393" t="s">
        <v>338</v>
      </c>
      <c r="F1384" s="394">
        <f>SUM(F1385:F1398)</f>
        <v>78066</v>
      </c>
      <c r="G1384" s="394">
        <f>SUM(G1385:G1398)</f>
        <v>7806</v>
      </c>
      <c r="H1384" s="394">
        <f>SUM(H1385:H1398)</f>
        <v>66356</v>
      </c>
      <c r="I1384" s="394">
        <f>SUM(I1385:I1398)</f>
        <v>3904</v>
      </c>
      <c r="J1384" s="395">
        <f>SUM(J1385:J1398)</f>
        <v>0</v>
      </c>
    </row>
    <row r="1385" spans="1:10" s="106" customFormat="1" ht="15" customHeight="1">
      <c r="A1385" s="1557"/>
      <c r="B1385" s="1560"/>
      <c r="C1385" s="1563"/>
      <c r="D1385" s="1566"/>
      <c r="E1385" s="358" t="s">
        <v>429</v>
      </c>
      <c r="F1385" s="359">
        <f t="shared" ref="F1385:F1398" si="114">SUM(G1385:J1385)</f>
        <v>22042</v>
      </c>
      <c r="G1385" s="359"/>
      <c r="H1385" s="359">
        <v>22042</v>
      </c>
      <c r="I1385" s="359"/>
      <c r="J1385" s="360"/>
    </row>
    <row r="1386" spans="1:10" s="106" customFormat="1" ht="15" customHeight="1">
      <c r="A1386" s="1557"/>
      <c r="B1386" s="1560"/>
      <c r="C1386" s="1563"/>
      <c r="D1386" s="1566"/>
      <c r="E1386" s="358" t="s">
        <v>430</v>
      </c>
      <c r="F1386" s="359">
        <f t="shared" si="114"/>
        <v>3890</v>
      </c>
      <c r="G1386" s="359">
        <v>2593</v>
      </c>
      <c r="H1386" s="359"/>
      <c r="I1386" s="359">
        <v>1297</v>
      </c>
      <c r="J1386" s="360"/>
    </row>
    <row r="1387" spans="1:10" s="106" customFormat="1" ht="15" customHeight="1">
      <c r="A1387" s="1557"/>
      <c r="B1387" s="1560"/>
      <c r="C1387" s="1563"/>
      <c r="D1387" s="1566"/>
      <c r="E1387" s="358" t="s">
        <v>396</v>
      </c>
      <c r="F1387" s="359">
        <f t="shared" si="114"/>
        <v>555</v>
      </c>
      <c r="G1387" s="359"/>
      <c r="H1387" s="359">
        <v>555</v>
      </c>
      <c r="I1387" s="359"/>
      <c r="J1387" s="360"/>
    </row>
    <row r="1388" spans="1:10" s="106" customFormat="1" ht="15" customHeight="1">
      <c r="A1388" s="1557"/>
      <c r="B1388" s="1560"/>
      <c r="C1388" s="1563"/>
      <c r="D1388" s="1566"/>
      <c r="E1388" s="358" t="s">
        <v>340</v>
      </c>
      <c r="F1388" s="359">
        <f t="shared" si="114"/>
        <v>98</v>
      </c>
      <c r="G1388" s="359">
        <v>65</v>
      </c>
      <c r="H1388" s="359"/>
      <c r="I1388" s="359">
        <v>33</v>
      </c>
      <c r="J1388" s="360"/>
    </row>
    <row r="1389" spans="1:10" s="106" customFormat="1" ht="15" customHeight="1">
      <c r="A1389" s="1557"/>
      <c r="B1389" s="1560"/>
      <c r="C1389" s="1563"/>
      <c r="D1389" s="1566"/>
      <c r="E1389" s="358" t="s">
        <v>538</v>
      </c>
      <c r="F1389" s="359">
        <f t="shared" si="114"/>
        <v>2907</v>
      </c>
      <c r="G1389" s="359"/>
      <c r="H1389" s="359">
        <v>2907</v>
      </c>
      <c r="I1389" s="359"/>
      <c r="J1389" s="360"/>
    </row>
    <row r="1390" spans="1:10" s="106" customFormat="1" ht="15" customHeight="1">
      <c r="A1390" s="1557"/>
      <c r="B1390" s="1560"/>
      <c r="C1390" s="1563"/>
      <c r="D1390" s="1566"/>
      <c r="E1390" s="358" t="s">
        <v>539</v>
      </c>
      <c r="F1390" s="359">
        <f t="shared" si="114"/>
        <v>513</v>
      </c>
      <c r="G1390" s="359">
        <v>342</v>
      </c>
      <c r="H1390" s="359"/>
      <c r="I1390" s="359">
        <v>171</v>
      </c>
      <c r="J1390" s="360"/>
    </row>
    <row r="1391" spans="1:10" s="106" customFormat="1" ht="15" customHeight="1">
      <c r="A1391" s="1557"/>
      <c r="B1391" s="1560"/>
      <c r="C1391" s="1563"/>
      <c r="D1391" s="1566"/>
      <c r="E1391" s="358" t="s">
        <v>431</v>
      </c>
      <c r="F1391" s="359">
        <f t="shared" si="114"/>
        <v>184</v>
      </c>
      <c r="G1391" s="359"/>
      <c r="H1391" s="359">
        <v>184</v>
      </c>
      <c r="I1391" s="359"/>
      <c r="J1391" s="360"/>
    </row>
    <row r="1392" spans="1:10" s="106" customFormat="1" ht="15" customHeight="1">
      <c r="A1392" s="1557"/>
      <c r="B1392" s="1560"/>
      <c r="C1392" s="1563"/>
      <c r="D1392" s="1566"/>
      <c r="E1392" s="358" t="s">
        <v>373</v>
      </c>
      <c r="F1392" s="359">
        <f t="shared" si="114"/>
        <v>33</v>
      </c>
      <c r="G1392" s="359">
        <v>22</v>
      </c>
      <c r="H1392" s="359"/>
      <c r="I1392" s="359">
        <v>11</v>
      </c>
      <c r="J1392" s="360"/>
    </row>
    <row r="1393" spans="1:10" s="106" customFormat="1" ht="15" customHeight="1">
      <c r="A1393" s="1557"/>
      <c r="B1393" s="1560"/>
      <c r="C1393" s="1563"/>
      <c r="D1393" s="1566"/>
      <c r="E1393" s="358" t="s">
        <v>397</v>
      </c>
      <c r="F1393" s="359">
        <f t="shared" si="114"/>
        <v>17370</v>
      </c>
      <c r="G1393" s="359"/>
      <c r="H1393" s="359">
        <v>17370</v>
      </c>
      <c r="I1393" s="359"/>
      <c r="J1393" s="360"/>
    </row>
    <row r="1394" spans="1:10" s="106" customFormat="1" ht="15" customHeight="1">
      <c r="A1394" s="1557"/>
      <c r="B1394" s="1560"/>
      <c r="C1394" s="1563"/>
      <c r="D1394" s="1566"/>
      <c r="E1394" s="358" t="s">
        <v>342</v>
      </c>
      <c r="F1394" s="359">
        <f t="shared" si="114"/>
        <v>3065</v>
      </c>
      <c r="G1394" s="359">
        <v>2043</v>
      </c>
      <c r="H1394" s="359"/>
      <c r="I1394" s="359">
        <v>1022</v>
      </c>
      <c r="J1394" s="360"/>
    </row>
    <row r="1395" spans="1:10" s="106" customFormat="1" ht="15" customHeight="1">
      <c r="A1395" s="1557"/>
      <c r="B1395" s="1560"/>
      <c r="C1395" s="1563"/>
      <c r="D1395" s="1566"/>
      <c r="E1395" s="358" t="s">
        <v>432</v>
      </c>
      <c r="F1395" s="359">
        <f t="shared" si="114"/>
        <v>93</v>
      </c>
      <c r="G1395" s="359"/>
      <c r="H1395" s="359">
        <v>93</v>
      </c>
      <c r="I1395" s="359"/>
      <c r="J1395" s="360"/>
    </row>
    <row r="1396" spans="1:10" s="106" customFormat="1" ht="15" customHeight="1">
      <c r="A1396" s="1557"/>
      <c r="B1396" s="1560"/>
      <c r="C1396" s="1563"/>
      <c r="D1396" s="1566"/>
      <c r="E1396" s="358" t="s">
        <v>433</v>
      </c>
      <c r="F1396" s="359">
        <f t="shared" si="114"/>
        <v>16</v>
      </c>
      <c r="G1396" s="359">
        <v>11</v>
      </c>
      <c r="H1396" s="359"/>
      <c r="I1396" s="359">
        <v>5</v>
      </c>
      <c r="J1396" s="360"/>
    </row>
    <row r="1397" spans="1:10" s="106" customFormat="1" ht="15" customHeight="1">
      <c r="A1397" s="1557"/>
      <c r="B1397" s="1560"/>
      <c r="C1397" s="1563"/>
      <c r="D1397" s="1566"/>
      <c r="E1397" s="358" t="s">
        <v>403</v>
      </c>
      <c r="F1397" s="359">
        <f t="shared" si="114"/>
        <v>23205</v>
      </c>
      <c r="G1397" s="359"/>
      <c r="H1397" s="359">
        <v>23205</v>
      </c>
      <c r="I1397" s="359"/>
      <c r="J1397" s="360"/>
    </row>
    <row r="1398" spans="1:10" s="106" customFormat="1" ht="15" customHeight="1">
      <c r="A1398" s="1557"/>
      <c r="B1398" s="1560"/>
      <c r="C1398" s="1563"/>
      <c r="D1398" s="1566"/>
      <c r="E1398" s="358" t="s">
        <v>379</v>
      </c>
      <c r="F1398" s="359">
        <f t="shared" si="114"/>
        <v>4095</v>
      </c>
      <c r="G1398" s="359">
        <v>2730</v>
      </c>
      <c r="H1398" s="359"/>
      <c r="I1398" s="359">
        <v>1365</v>
      </c>
      <c r="J1398" s="360"/>
    </row>
    <row r="1399" spans="1:10" s="106" customFormat="1" ht="24.95" customHeight="1">
      <c r="A1399" s="1557"/>
      <c r="B1399" s="1560"/>
      <c r="C1399" s="1563"/>
      <c r="D1399" s="1566"/>
      <c r="E1399" s="361" t="s">
        <v>318</v>
      </c>
      <c r="F1399" s="356">
        <f>SUM(F1400:F1401)</f>
        <v>44820</v>
      </c>
      <c r="G1399" s="356">
        <f>SUM(G1400:G1401)</f>
        <v>4482</v>
      </c>
      <c r="H1399" s="356">
        <f>SUM(H1400:H1401)</f>
        <v>38097</v>
      </c>
      <c r="I1399" s="356">
        <f>SUM(I1400:I1401)</f>
        <v>2241</v>
      </c>
      <c r="J1399" s="357">
        <f>SUM(J1400:J1401)</f>
        <v>0</v>
      </c>
    </row>
    <row r="1400" spans="1:10" s="106" customFormat="1" ht="15" customHeight="1">
      <c r="A1400" s="1557"/>
      <c r="B1400" s="1560"/>
      <c r="C1400" s="1563"/>
      <c r="D1400" s="1566"/>
      <c r="E1400" s="358" t="s">
        <v>408</v>
      </c>
      <c r="F1400" s="359">
        <f>SUM(G1400:J1400)</f>
        <v>38097</v>
      </c>
      <c r="G1400" s="359"/>
      <c r="H1400" s="359">
        <v>38097</v>
      </c>
      <c r="I1400" s="359"/>
      <c r="J1400" s="360"/>
    </row>
    <row r="1401" spans="1:10" s="106" customFormat="1" ht="15" customHeight="1">
      <c r="A1401" s="1558"/>
      <c r="B1401" s="1561"/>
      <c r="C1401" s="1564"/>
      <c r="D1401" s="1567"/>
      <c r="E1401" s="396">
        <v>6069</v>
      </c>
      <c r="F1401" s="359">
        <f>SUM(G1401:J1401)</f>
        <v>6723</v>
      </c>
      <c r="G1401" s="359">
        <v>4482</v>
      </c>
      <c r="H1401" s="359"/>
      <c r="I1401" s="359">
        <v>2241</v>
      </c>
      <c r="J1401" s="360"/>
    </row>
    <row r="1402" spans="1:10" s="106" customFormat="1" ht="24.95" customHeight="1">
      <c r="A1402" s="419" t="s">
        <v>550</v>
      </c>
      <c r="B1402" s="1574" t="s">
        <v>551</v>
      </c>
      <c r="C1402" s="1575"/>
      <c r="D1402" s="1575"/>
      <c r="E1402" s="1576"/>
      <c r="F1402" s="420">
        <f>F1404+F1433</f>
        <v>478875</v>
      </c>
      <c r="G1402" s="420">
        <f t="shared" ref="G1402:J1402" si="115">G1404+G1433</f>
        <v>36715</v>
      </c>
      <c r="H1402" s="420">
        <f t="shared" si="115"/>
        <v>423803</v>
      </c>
      <c r="I1402" s="420">
        <f t="shared" si="115"/>
        <v>18357</v>
      </c>
      <c r="J1402" s="421">
        <f t="shared" si="115"/>
        <v>0</v>
      </c>
    </row>
    <row r="1403" spans="1:10" s="106" customFormat="1" ht="15" customHeight="1">
      <c r="A1403" s="1577"/>
      <c r="B1403" s="1578"/>
      <c r="C1403" s="1578"/>
      <c r="D1403" s="1578"/>
      <c r="E1403" s="1578"/>
      <c r="F1403" s="1578"/>
      <c r="G1403" s="1578"/>
      <c r="H1403" s="1578"/>
      <c r="I1403" s="1578"/>
      <c r="J1403" s="1579"/>
    </row>
    <row r="1404" spans="1:10" s="106" customFormat="1" ht="24.95" customHeight="1">
      <c r="A1404" s="1556" t="s">
        <v>313</v>
      </c>
      <c r="B1404" s="1559" t="s">
        <v>536</v>
      </c>
      <c r="C1404" s="1562">
        <v>801</v>
      </c>
      <c r="D1404" s="1565" t="s">
        <v>537</v>
      </c>
      <c r="E1404" s="350" t="s">
        <v>315</v>
      </c>
      <c r="F1404" s="351">
        <f>SUM(F1405,F1430)</f>
        <v>367148</v>
      </c>
      <c r="G1404" s="351">
        <f>SUM(G1405,G1430)</f>
        <v>36715</v>
      </c>
      <c r="H1404" s="351">
        <f>SUM(H1405,H1430)</f>
        <v>312076</v>
      </c>
      <c r="I1404" s="351">
        <f>SUM(I1405,I1430)</f>
        <v>18357</v>
      </c>
      <c r="J1404" s="352">
        <f>SUM(J1405,J1430)</f>
        <v>0</v>
      </c>
    </row>
    <row r="1405" spans="1:10" s="106" customFormat="1" ht="24.95" customHeight="1">
      <c r="A1405" s="1557"/>
      <c r="B1405" s="1560"/>
      <c r="C1405" s="1563"/>
      <c r="D1405" s="1566"/>
      <c r="E1405" s="355" t="s">
        <v>332</v>
      </c>
      <c r="F1405" s="356">
        <f>SUM(F1406,F1415)</f>
        <v>328148</v>
      </c>
      <c r="G1405" s="356">
        <f>SUM(G1406,G1415)</f>
        <v>32815</v>
      </c>
      <c r="H1405" s="356">
        <f>SUM(H1406,H1415)</f>
        <v>278926</v>
      </c>
      <c r="I1405" s="356">
        <f>SUM(I1406,I1415)</f>
        <v>16407</v>
      </c>
      <c r="J1405" s="357">
        <f>SUM(J1406,J1415)</f>
        <v>0</v>
      </c>
    </row>
    <row r="1406" spans="1:10" s="106" customFormat="1" ht="24.95" customHeight="1">
      <c r="A1406" s="1557"/>
      <c r="B1406" s="1560"/>
      <c r="C1406" s="1563"/>
      <c r="D1406" s="1566"/>
      <c r="E1406" s="393" t="s">
        <v>333</v>
      </c>
      <c r="F1406" s="394">
        <f>SUM(F1407:F1414)</f>
        <v>28094</v>
      </c>
      <c r="G1406" s="394">
        <f>SUM(G1407:G1414)</f>
        <v>2810</v>
      </c>
      <c r="H1406" s="394">
        <f>SUM(H1407:H1414)</f>
        <v>23880</v>
      </c>
      <c r="I1406" s="394">
        <f>SUM(I1407:I1414)</f>
        <v>1404</v>
      </c>
      <c r="J1406" s="395">
        <f>SUM(J1407:J1414)</f>
        <v>0</v>
      </c>
    </row>
    <row r="1407" spans="1:10" s="106" customFormat="1" ht="15" customHeight="1">
      <c r="A1407" s="1557"/>
      <c r="B1407" s="1560"/>
      <c r="C1407" s="1563"/>
      <c r="D1407" s="1566"/>
      <c r="E1407" s="358" t="s">
        <v>391</v>
      </c>
      <c r="F1407" s="359">
        <f>SUM(G1407:J1407)</f>
        <v>19190</v>
      </c>
      <c r="G1407" s="359"/>
      <c r="H1407" s="359">
        <v>19190</v>
      </c>
      <c r="I1407" s="359"/>
      <c r="J1407" s="360"/>
    </row>
    <row r="1408" spans="1:10" s="106" customFormat="1" ht="15" customHeight="1">
      <c r="A1408" s="1557"/>
      <c r="B1408" s="1560"/>
      <c r="C1408" s="1563"/>
      <c r="D1408" s="1566"/>
      <c r="E1408" s="358" t="s">
        <v>363</v>
      </c>
      <c r="F1408" s="359">
        <f>SUM(G1408:J1408)</f>
        <v>3387</v>
      </c>
      <c r="G1408" s="359">
        <v>2258</v>
      </c>
      <c r="H1408" s="359"/>
      <c r="I1408" s="359">
        <v>1129</v>
      </c>
      <c r="J1408" s="360"/>
    </row>
    <row r="1409" spans="1:10" s="106" customFormat="1" ht="15" customHeight="1">
      <c r="A1409" s="1557"/>
      <c r="B1409" s="1560"/>
      <c r="C1409" s="1563"/>
      <c r="D1409" s="1566"/>
      <c r="E1409" s="358" t="s">
        <v>393</v>
      </c>
      <c r="F1409" s="359">
        <f>SUM(G1409:J1409)</f>
        <v>4105</v>
      </c>
      <c r="G1409" s="359"/>
      <c r="H1409" s="359">
        <v>4105</v>
      </c>
      <c r="I1409" s="359"/>
      <c r="J1409" s="360"/>
    </row>
    <row r="1410" spans="1:10" s="106" customFormat="1" ht="15" customHeight="1">
      <c r="A1410" s="1557"/>
      <c r="B1410" s="1560"/>
      <c r="C1410" s="1563"/>
      <c r="D1410" s="1566"/>
      <c r="E1410" s="358" t="s">
        <v>335</v>
      </c>
      <c r="F1410" s="359">
        <f>SUM(G1410:J1410)</f>
        <v>724</v>
      </c>
      <c r="G1410" s="359">
        <v>483</v>
      </c>
      <c r="H1410" s="359"/>
      <c r="I1410" s="359">
        <v>241</v>
      </c>
      <c r="J1410" s="360"/>
    </row>
    <row r="1411" spans="1:10" s="106" customFormat="1" ht="15" customHeight="1">
      <c r="A1411" s="1557"/>
      <c r="B1411" s="1560"/>
      <c r="C1411" s="1563"/>
      <c r="D1411" s="1566"/>
      <c r="E1411" s="358" t="s">
        <v>394</v>
      </c>
      <c r="F1411" s="359">
        <f t="shared" ref="F1411:F1413" si="116">SUM(G1411:J1411)</f>
        <v>585</v>
      </c>
      <c r="G1411" s="359"/>
      <c r="H1411" s="359">
        <v>585</v>
      </c>
      <c r="I1411" s="359"/>
      <c r="J1411" s="360"/>
    </row>
    <row r="1412" spans="1:10" s="106" customFormat="1" ht="15" customHeight="1">
      <c r="A1412" s="1557"/>
      <c r="B1412" s="1560"/>
      <c r="C1412" s="1563"/>
      <c r="D1412" s="1566"/>
      <c r="E1412" s="358" t="s">
        <v>367</v>
      </c>
      <c r="F1412" s="359">
        <f t="shared" si="116"/>
        <v>103</v>
      </c>
      <c r="G1412" s="359">
        <v>69</v>
      </c>
      <c r="H1412" s="359"/>
      <c r="I1412" s="359">
        <v>34</v>
      </c>
      <c r="J1412" s="360"/>
    </row>
    <row r="1413" spans="1:10" s="106" customFormat="1" ht="15" hidden="1" customHeight="1">
      <c r="A1413" s="1557"/>
      <c r="B1413" s="1560"/>
      <c r="C1413" s="1563"/>
      <c r="D1413" s="1566"/>
      <c r="E1413" s="358" t="s">
        <v>395</v>
      </c>
      <c r="F1413" s="359">
        <f t="shared" si="116"/>
        <v>0</v>
      </c>
      <c r="G1413" s="359"/>
      <c r="H1413" s="359"/>
      <c r="I1413" s="359"/>
      <c r="J1413" s="360"/>
    </row>
    <row r="1414" spans="1:10" s="106" customFormat="1" ht="15" hidden="1" customHeight="1">
      <c r="A1414" s="1557"/>
      <c r="B1414" s="1560"/>
      <c r="C1414" s="1563"/>
      <c r="D1414" s="1566"/>
      <c r="E1414" s="358" t="s">
        <v>337</v>
      </c>
      <c r="F1414" s="359">
        <f>SUM(G1414:J1414)</f>
        <v>0</v>
      </c>
      <c r="G1414" s="359"/>
      <c r="H1414" s="359"/>
      <c r="I1414" s="359"/>
      <c r="J1414" s="360"/>
    </row>
    <row r="1415" spans="1:10" s="106" customFormat="1" ht="24.95" customHeight="1">
      <c r="A1415" s="1557"/>
      <c r="B1415" s="1560"/>
      <c r="C1415" s="1563"/>
      <c r="D1415" s="1566"/>
      <c r="E1415" s="393" t="s">
        <v>338</v>
      </c>
      <c r="F1415" s="394">
        <f>SUM(F1416:F1429)</f>
        <v>300054</v>
      </c>
      <c r="G1415" s="394">
        <f>SUM(G1416:G1429)</f>
        <v>30005</v>
      </c>
      <c r="H1415" s="394">
        <f>SUM(H1416:H1429)</f>
        <v>255046</v>
      </c>
      <c r="I1415" s="394">
        <f>SUM(I1416:I1429)</f>
        <v>15003</v>
      </c>
      <c r="J1415" s="395">
        <f>SUM(J1416:J1429)</f>
        <v>0</v>
      </c>
    </row>
    <row r="1416" spans="1:10" s="106" customFormat="1" ht="15" customHeight="1">
      <c r="A1416" s="1557"/>
      <c r="B1416" s="1560"/>
      <c r="C1416" s="1563"/>
      <c r="D1416" s="1566"/>
      <c r="E1416" s="358" t="s">
        <v>429</v>
      </c>
      <c r="F1416" s="359">
        <f t="shared" ref="F1416:F1429" si="117">SUM(G1416:J1416)</f>
        <v>81388</v>
      </c>
      <c r="G1416" s="359"/>
      <c r="H1416" s="359">
        <v>81388</v>
      </c>
      <c r="I1416" s="359"/>
      <c r="J1416" s="360"/>
    </row>
    <row r="1417" spans="1:10" s="106" customFormat="1" ht="15" customHeight="1">
      <c r="A1417" s="1557"/>
      <c r="B1417" s="1560"/>
      <c r="C1417" s="1563"/>
      <c r="D1417" s="1566"/>
      <c r="E1417" s="358" t="s">
        <v>430</v>
      </c>
      <c r="F1417" s="359">
        <f t="shared" si="117"/>
        <v>14363</v>
      </c>
      <c r="G1417" s="359">
        <v>9575</v>
      </c>
      <c r="H1417" s="359"/>
      <c r="I1417" s="359">
        <v>4788</v>
      </c>
      <c r="J1417" s="360"/>
    </row>
    <row r="1418" spans="1:10" s="106" customFormat="1" ht="15" customHeight="1">
      <c r="A1418" s="1557"/>
      <c r="B1418" s="1560"/>
      <c r="C1418" s="1563"/>
      <c r="D1418" s="1566"/>
      <c r="E1418" s="358" t="s">
        <v>396</v>
      </c>
      <c r="F1418" s="359">
        <f t="shared" si="117"/>
        <v>1307</v>
      </c>
      <c r="G1418" s="359"/>
      <c r="H1418" s="359">
        <v>1307</v>
      </c>
      <c r="I1418" s="359"/>
      <c r="J1418" s="360"/>
    </row>
    <row r="1419" spans="1:10" s="106" customFormat="1" ht="15" customHeight="1">
      <c r="A1419" s="1557"/>
      <c r="B1419" s="1560"/>
      <c r="C1419" s="1563"/>
      <c r="D1419" s="1566"/>
      <c r="E1419" s="358" t="s">
        <v>340</v>
      </c>
      <c r="F1419" s="359">
        <f t="shared" si="117"/>
        <v>230</v>
      </c>
      <c r="G1419" s="359">
        <v>153</v>
      </c>
      <c r="H1419" s="359"/>
      <c r="I1419" s="359">
        <v>77</v>
      </c>
      <c r="J1419" s="360"/>
    </row>
    <row r="1420" spans="1:10" s="106" customFormat="1" ht="15" customHeight="1">
      <c r="A1420" s="1557"/>
      <c r="B1420" s="1560"/>
      <c r="C1420" s="1563"/>
      <c r="D1420" s="1566"/>
      <c r="E1420" s="358" t="s">
        <v>538</v>
      </c>
      <c r="F1420" s="359">
        <f t="shared" si="117"/>
        <v>78072</v>
      </c>
      <c r="G1420" s="359"/>
      <c r="H1420" s="359">
        <v>78072</v>
      </c>
      <c r="I1420" s="359"/>
      <c r="J1420" s="360"/>
    </row>
    <row r="1421" spans="1:10" s="106" customFormat="1" ht="15" customHeight="1">
      <c r="A1421" s="1557"/>
      <c r="B1421" s="1560"/>
      <c r="C1421" s="1563"/>
      <c r="D1421" s="1566"/>
      <c r="E1421" s="358" t="s">
        <v>539</v>
      </c>
      <c r="F1421" s="359">
        <f t="shared" si="117"/>
        <v>13777</v>
      </c>
      <c r="G1421" s="359">
        <v>9185</v>
      </c>
      <c r="H1421" s="359"/>
      <c r="I1421" s="359">
        <v>4592</v>
      </c>
      <c r="J1421" s="360"/>
    </row>
    <row r="1422" spans="1:10" s="106" customFormat="1" ht="15" customHeight="1">
      <c r="A1422" s="1557"/>
      <c r="B1422" s="1560"/>
      <c r="C1422" s="1563"/>
      <c r="D1422" s="1566"/>
      <c r="E1422" s="358" t="s">
        <v>431</v>
      </c>
      <c r="F1422" s="359">
        <f t="shared" si="117"/>
        <v>436</v>
      </c>
      <c r="G1422" s="359"/>
      <c r="H1422" s="359">
        <v>436</v>
      </c>
      <c r="I1422" s="359"/>
      <c r="J1422" s="360"/>
    </row>
    <row r="1423" spans="1:10" s="106" customFormat="1" ht="15" customHeight="1">
      <c r="A1423" s="1557"/>
      <c r="B1423" s="1560"/>
      <c r="C1423" s="1563"/>
      <c r="D1423" s="1566"/>
      <c r="E1423" s="358" t="s">
        <v>373</v>
      </c>
      <c r="F1423" s="359">
        <f t="shared" si="117"/>
        <v>76</v>
      </c>
      <c r="G1423" s="359">
        <v>51</v>
      </c>
      <c r="H1423" s="359"/>
      <c r="I1423" s="359">
        <v>25</v>
      </c>
      <c r="J1423" s="360"/>
    </row>
    <row r="1424" spans="1:10" s="106" customFormat="1" ht="15" customHeight="1">
      <c r="A1424" s="1557"/>
      <c r="B1424" s="1560"/>
      <c r="C1424" s="1563"/>
      <c r="D1424" s="1566"/>
      <c r="E1424" s="358" t="s">
        <v>397</v>
      </c>
      <c r="F1424" s="359">
        <f t="shared" si="117"/>
        <v>65066</v>
      </c>
      <c r="G1424" s="359"/>
      <c r="H1424" s="359">
        <v>65066</v>
      </c>
      <c r="I1424" s="359"/>
      <c r="J1424" s="360"/>
    </row>
    <row r="1425" spans="1:10" s="106" customFormat="1" ht="15" customHeight="1">
      <c r="A1425" s="1557"/>
      <c r="B1425" s="1560"/>
      <c r="C1425" s="1563"/>
      <c r="D1425" s="1566"/>
      <c r="E1425" s="358" t="s">
        <v>342</v>
      </c>
      <c r="F1425" s="359">
        <f t="shared" si="117"/>
        <v>11483</v>
      </c>
      <c r="G1425" s="359">
        <v>7655</v>
      </c>
      <c r="H1425" s="359"/>
      <c r="I1425" s="359">
        <v>3828</v>
      </c>
      <c r="J1425" s="360"/>
    </row>
    <row r="1426" spans="1:10" s="106" customFormat="1" ht="15" customHeight="1">
      <c r="A1426" s="1557"/>
      <c r="B1426" s="1560"/>
      <c r="C1426" s="1563"/>
      <c r="D1426" s="1566"/>
      <c r="E1426" s="358" t="s">
        <v>432</v>
      </c>
      <c r="F1426" s="359">
        <f t="shared" si="117"/>
        <v>217</v>
      </c>
      <c r="G1426" s="359"/>
      <c r="H1426" s="359">
        <v>217</v>
      </c>
      <c r="I1426" s="359"/>
      <c r="J1426" s="360"/>
    </row>
    <row r="1427" spans="1:10" s="106" customFormat="1" ht="15" customHeight="1">
      <c r="A1427" s="1557"/>
      <c r="B1427" s="1560"/>
      <c r="C1427" s="1563"/>
      <c r="D1427" s="1566"/>
      <c r="E1427" s="358" t="s">
        <v>433</v>
      </c>
      <c r="F1427" s="359">
        <f t="shared" si="117"/>
        <v>39</v>
      </c>
      <c r="G1427" s="359">
        <v>26</v>
      </c>
      <c r="H1427" s="359"/>
      <c r="I1427" s="359">
        <v>13</v>
      </c>
      <c r="J1427" s="360"/>
    </row>
    <row r="1428" spans="1:10" s="106" customFormat="1" ht="15" customHeight="1">
      <c r="A1428" s="1557"/>
      <c r="B1428" s="1560"/>
      <c r="C1428" s="1563"/>
      <c r="D1428" s="1566"/>
      <c r="E1428" s="358" t="s">
        <v>403</v>
      </c>
      <c r="F1428" s="359">
        <f t="shared" si="117"/>
        <v>28560</v>
      </c>
      <c r="G1428" s="359"/>
      <c r="H1428" s="359">
        <v>28560</v>
      </c>
      <c r="I1428" s="359"/>
      <c r="J1428" s="360"/>
    </row>
    <row r="1429" spans="1:10" s="106" customFormat="1" ht="15" customHeight="1">
      <c r="A1429" s="1557"/>
      <c r="B1429" s="1560"/>
      <c r="C1429" s="1563"/>
      <c r="D1429" s="1566"/>
      <c r="E1429" s="358" t="s">
        <v>379</v>
      </c>
      <c r="F1429" s="359">
        <f t="shared" si="117"/>
        <v>5040</v>
      </c>
      <c r="G1429" s="359">
        <v>3360</v>
      </c>
      <c r="H1429" s="359"/>
      <c r="I1429" s="359">
        <v>1680</v>
      </c>
      <c r="J1429" s="360"/>
    </row>
    <row r="1430" spans="1:10" s="106" customFormat="1" ht="24.95" customHeight="1">
      <c r="A1430" s="1557"/>
      <c r="B1430" s="1560"/>
      <c r="C1430" s="1563"/>
      <c r="D1430" s="1566"/>
      <c r="E1430" s="361" t="s">
        <v>318</v>
      </c>
      <c r="F1430" s="356">
        <f>SUM(F1431:F1432)</f>
        <v>39000</v>
      </c>
      <c r="G1430" s="356">
        <f>SUM(G1431:G1432)</f>
        <v>3900</v>
      </c>
      <c r="H1430" s="356">
        <f>SUM(H1431:H1432)</f>
        <v>33150</v>
      </c>
      <c r="I1430" s="356">
        <f>SUM(I1431:I1432)</f>
        <v>1950</v>
      </c>
      <c r="J1430" s="357">
        <f>SUM(J1431:J1432)</f>
        <v>0</v>
      </c>
    </row>
    <row r="1431" spans="1:10" s="106" customFormat="1" ht="15" customHeight="1">
      <c r="A1431" s="1557"/>
      <c r="B1431" s="1560"/>
      <c r="C1431" s="1563"/>
      <c r="D1431" s="1566"/>
      <c r="E1431" s="358" t="s">
        <v>408</v>
      </c>
      <c r="F1431" s="359">
        <f>SUM(G1431:J1431)</f>
        <v>33150</v>
      </c>
      <c r="G1431" s="359"/>
      <c r="H1431" s="359">
        <v>33150</v>
      </c>
      <c r="I1431" s="359"/>
      <c r="J1431" s="360"/>
    </row>
    <row r="1432" spans="1:10" s="106" customFormat="1" ht="15" customHeight="1">
      <c r="A1432" s="1558"/>
      <c r="B1432" s="1561"/>
      <c r="C1432" s="1564"/>
      <c r="D1432" s="1567"/>
      <c r="E1432" s="396">
        <v>6069</v>
      </c>
      <c r="F1432" s="359">
        <f>SUM(G1432:J1432)</f>
        <v>5850</v>
      </c>
      <c r="G1432" s="359">
        <v>3900</v>
      </c>
      <c r="H1432" s="359"/>
      <c r="I1432" s="359">
        <v>1950</v>
      </c>
      <c r="J1432" s="360"/>
    </row>
    <row r="1433" spans="1:10" s="106" customFormat="1" ht="24.95" customHeight="1">
      <c r="A1433" s="1547" t="s">
        <v>327</v>
      </c>
      <c r="B1433" s="1548" t="s">
        <v>552</v>
      </c>
      <c r="C1433" s="1570">
        <v>801</v>
      </c>
      <c r="D1433" s="1572" t="s">
        <v>514</v>
      </c>
      <c r="E1433" s="350" t="s">
        <v>315</v>
      </c>
      <c r="F1433" s="351">
        <f>SUM(F1434,F1446)</f>
        <v>111727</v>
      </c>
      <c r="G1433" s="351">
        <f>SUM(G1434,G1446)</f>
        <v>0</v>
      </c>
      <c r="H1433" s="351">
        <f>SUM(H1434,H1446)</f>
        <v>111727</v>
      </c>
      <c r="I1433" s="351">
        <f>SUM(I1434,I1446)</f>
        <v>0</v>
      </c>
      <c r="J1433" s="352">
        <f>SUM(J1434,J1446)</f>
        <v>0</v>
      </c>
    </row>
    <row r="1434" spans="1:10" s="106" customFormat="1" ht="21">
      <c r="A1434" s="1547"/>
      <c r="B1434" s="1548"/>
      <c r="C1434" s="1570"/>
      <c r="D1434" s="1572"/>
      <c r="E1434" s="355" t="s">
        <v>332</v>
      </c>
      <c r="F1434" s="356">
        <f>SUM(F1435,F1437,F1441)</f>
        <v>111727</v>
      </c>
      <c r="G1434" s="356">
        <f>SUM(G1435,G1437,G1441)</f>
        <v>0</v>
      </c>
      <c r="H1434" s="356">
        <f>SUM(H1435,H1437,H1441)</f>
        <v>111727</v>
      </c>
      <c r="I1434" s="356">
        <f>SUM(I1435,I1437,I1441)</f>
        <v>0</v>
      </c>
      <c r="J1434" s="357">
        <f>SUM(J1435,J1437,J1441)</f>
        <v>0</v>
      </c>
    </row>
    <row r="1435" spans="1:10" s="106" customFormat="1" ht="24.95" customHeight="1">
      <c r="A1435" s="1547"/>
      <c r="B1435" s="1548"/>
      <c r="C1435" s="1570"/>
      <c r="D1435" s="1572"/>
      <c r="E1435" s="393" t="s">
        <v>389</v>
      </c>
      <c r="F1435" s="394">
        <f>SUM(F1436:F1436)</f>
        <v>29409</v>
      </c>
      <c r="G1435" s="394">
        <f>SUM(G1436:G1436)</f>
        <v>0</v>
      </c>
      <c r="H1435" s="394">
        <f>SUM(H1436:H1436)</f>
        <v>29409</v>
      </c>
      <c r="I1435" s="394">
        <f>SUM(I1436:I1436)</f>
        <v>0</v>
      </c>
      <c r="J1435" s="395">
        <f>SUM(J1436:J1436)</f>
        <v>0</v>
      </c>
    </row>
    <row r="1436" spans="1:10" s="106" customFormat="1" ht="15" customHeight="1">
      <c r="A1436" s="1547"/>
      <c r="B1436" s="1548"/>
      <c r="C1436" s="1570"/>
      <c r="D1436" s="1572"/>
      <c r="E1436" s="410" t="s">
        <v>553</v>
      </c>
      <c r="F1436" s="359">
        <f>SUM(G1436:J1436)</f>
        <v>29409</v>
      </c>
      <c r="G1436" s="359"/>
      <c r="H1436" s="359">
        <v>29409</v>
      </c>
      <c r="I1436" s="359"/>
      <c r="J1436" s="360"/>
    </row>
    <row r="1437" spans="1:10" s="106" customFormat="1" ht="24.95" customHeight="1">
      <c r="A1437" s="1547"/>
      <c r="B1437" s="1548"/>
      <c r="C1437" s="1570"/>
      <c r="D1437" s="1572"/>
      <c r="E1437" s="393" t="s">
        <v>333</v>
      </c>
      <c r="F1437" s="394">
        <f>SUM(F1438:F1440)</f>
        <v>13161</v>
      </c>
      <c r="G1437" s="394">
        <f>SUM(G1438:G1440)</f>
        <v>0</v>
      </c>
      <c r="H1437" s="394">
        <f>SUM(H1438:H1440)</f>
        <v>13161</v>
      </c>
      <c r="I1437" s="394">
        <f>SUM(I1438:I1440)</f>
        <v>0</v>
      </c>
      <c r="J1437" s="395">
        <f>SUM(J1438:J1440)</f>
        <v>0</v>
      </c>
    </row>
    <row r="1438" spans="1:10" s="106" customFormat="1" ht="15" customHeight="1">
      <c r="A1438" s="1547"/>
      <c r="B1438" s="1548"/>
      <c r="C1438" s="1570"/>
      <c r="D1438" s="1572"/>
      <c r="E1438" s="358" t="s">
        <v>554</v>
      </c>
      <c r="F1438" s="359">
        <f t="shared" ref="F1438:F1440" si="118">SUM(G1438:J1438)</f>
        <v>1891</v>
      </c>
      <c r="G1438" s="359"/>
      <c r="H1438" s="359">
        <v>1891</v>
      </c>
      <c r="I1438" s="359"/>
      <c r="J1438" s="360"/>
    </row>
    <row r="1439" spans="1:10" s="106" customFormat="1" ht="15" customHeight="1">
      <c r="A1439" s="1547"/>
      <c r="B1439" s="1548"/>
      <c r="C1439" s="1570"/>
      <c r="D1439" s="1572"/>
      <c r="E1439" s="358" t="s">
        <v>555</v>
      </c>
      <c r="F1439" s="359">
        <f t="shared" si="118"/>
        <v>270</v>
      </c>
      <c r="G1439" s="359"/>
      <c r="H1439" s="359">
        <v>270</v>
      </c>
      <c r="I1439" s="359"/>
      <c r="J1439" s="360"/>
    </row>
    <row r="1440" spans="1:10" s="106" customFormat="1" ht="15" customHeight="1">
      <c r="A1440" s="1547"/>
      <c r="B1440" s="1548"/>
      <c r="C1440" s="1570"/>
      <c r="D1440" s="1572"/>
      <c r="E1440" s="358" t="s">
        <v>556</v>
      </c>
      <c r="F1440" s="359">
        <f t="shared" si="118"/>
        <v>11000</v>
      </c>
      <c r="G1440" s="359"/>
      <c r="H1440" s="359">
        <v>11000</v>
      </c>
      <c r="I1440" s="359"/>
      <c r="J1440" s="360"/>
    </row>
    <row r="1441" spans="1:11" s="106" customFormat="1" ht="24.95" customHeight="1">
      <c r="A1441" s="1547"/>
      <c r="B1441" s="1548"/>
      <c r="C1441" s="1570"/>
      <c r="D1441" s="1572"/>
      <c r="E1441" s="393" t="s">
        <v>338</v>
      </c>
      <c r="F1441" s="394">
        <f>SUM(F1442:F1445)</f>
        <v>69157</v>
      </c>
      <c r="G1441" s="394">
        <f>SUM(G1442:G1445)</f>
        <v>0</v>
      </c>
      <c r="H1441" s="394">
        <f>SUM(H1442:H1445)</f>
        <v>69157</v>
      </c>
      <c r="I1441" s="394">
        <f>SUM(I1442:I1445)</f>
        <v>0</v>
      </c>
      <c r="J1441" s="395">
        <f>SUM(J1442:J1445)</f>
        <v>0</v>
      </c>
    </row>
    <row r="1442" spans="1:11" s="354" customFormat="1" ht="15" customHeight="1">
      <c r="A1442" s="1547"/>
      <c r="B1442" s="1548"/>
      <c r="C1442" s="1570"/>
      <c r="D1442" s="1572"/>
      <c r="E1442" s="410" t="s">
        <v>557</v>
      </c>
      <c r="F1442" s="359">
        <f t="shared" ref="F1442:F1445" si="119">SUM(G1442:J1442)</f>
        <v>9323</v>
      </c>
      <c r="G1442" s="359"/>
      <c r="H1442" s="359">
        <v>9323</v>
      </c>
      <c r="I1442" s="359"/>
      <c r="J1442" s="360"/>
    </row>
    <row r="1443" spans="1:11" s="354" customFormat="1" ht="15" customHeight="1">
      <c r="A1443" s="1547"/>
      <c r="B1443" s="1548"/>
      <c r="C1443" s="1570"/>
      <c r="D1443" s="1572"/>
      <c r="E1443" s="410" t="s">
        <v>558</v>
      </c>
      <c r="F1443" s="359">
        <f t="shared" si="119"/>
        <v>800</v>
      </c>
      <c r="G1443" s="359"/>
      <c r="H1443" s="359">
        <v>800</v>
      </c>
      <c r="I1443" s="359"/>
      <c r="J1443" s="360"/>
    </row>
    <row r="1444" spans="1:11" s="354" customFormat="1" ht="15" customHeight="1">
      <c r="A1444" s="1547"/>
      <c r="B1444" s="1548"/>
      <c r="C1444" s="1570"/>
      <c r="D1444" s="1572"/>
      <c r="E1444" s="410" t="s">
        <v>559</v>
      </c>
      <c r="F1444" s="359">
        <f t="shared" si="119"/>
        <v>58364</v>
      </c>
      <c r="G1444" s="359"/>
      <c r="H1444" s="359">
        <v>58364</v>
      </c>
      <c r="I1444" s="359"/>
      <c r="J1444" s="360"/>
    </row>
    <row r="1445" spans="1:11" s="354" customFormat="1" ht="15" customHeight="1">
      <c r="A1445" s="1547"/>
      <c r="B1445" s="1548"/>
      <c r="C1445" s="1570"/>
      <c r="D1445" s="1572"/>
      <c r="E1445" s="410" t="s">
        <v>560</v>
      </c>
      <c r="F1445" s="359">
        <f t="shared" si="119"/>
        <v>670</v>
      </c>
      <c r="G1445" s="359"/>
      <c r="H1445" s="359">
        <v>670</v>
      </c>
      <c r="I1445" s="359"/>
      <c r="J1445" s="360"/>
    </row>
    <row r="1446" spans="1:11" s="106" customFormat="1" ht="24.95" customHeight="1" thickBot="1">
      <c r="A1446" s="1547"/>
      <c r="B1446" s="1548"/>
      <c r="C1446" s="1570"/>
      <c r="D1446" s="1572"/>
      <c r="E1446" s="361" t="s">
        <v>318</v>
      </c>
      <c r="F1446" s="356">
        <f>SUM(F1447:F1448)</f>
        <v>0</v>
      </c>
      <c r="G1446" s="356">
        <f>SUM(G1447:G1448)</f>
        <v>0</v>
      </c>
      <c r="H1446" s="356">
        <f>SUM(H1447:H1448)</f>
        <v>0</v>
      </c>
      <c r="I1446" s="356">
        <f>SUM(I1447:I1448)</f>
        <v>0</v>
      </c>
      <c r="J1446" s="357">
        <f>SUM(J1447:J1448)</f>
        <v>0</v>
      </c>
    </row>
    <row r="1447" spans="1:11" s="106" customFormat="1" ht="15" hidden="1" customHeight="1">
      <c r="A1447" s="1547"/>
      <c r="B1447" s="1548"/>
      <c r="C1447" s="1570"/>
      <c r="D1447" s="1572"/>
      <c r="E1447" s="358"/>
      <c r="F1447" s="359">
        <f>SUM(G1447:J1447)</f>
        <v>0</v>
      </c>
      <c r="G1447" s="359"/>
      <c r="H1447" s="359"/>
      <c r="I1447" s="359"/>
      <c r="J1447" s="360"/>
    </row>
    <row r="1448" spans="1:11" s="106" customFormat="1" ht="15" hidden="1" customHeight="1" thickBot="1">
      <c r="A1448" s="1568"/>
      <c r="B1448" s="1569"/>
      <c r="C1448" s="1571"/>
      <c r="D1448" s="1573"/>
      <c r="E1448" s="438"/>
      <c r="F1448" s="439">
        <f>SUM(G1448:J1448)</f>
        <v>0</v>
      </c>
      <c r="G1448" s="439"/>
      <c r="H1448" s="439"/>
      <c r="I1448" s="439"/>
      <c r="J1448" s="440"/>
    </row>
    <row r="1449" spans="1:11" s="106" customFormat="1" ht="24.95" customHeight="1" thickBot="1">
      <c r="A1449" s="1525" t="s">
        <v>322</v>
      </c>
      <c r="B1449" s="1526"/>
      <c r="C1449" s="1526"/>
      <c r="D1449" s="1526"/>
      <c r="E1449" s="1527"/>
      <c r="F1449" s="366">
        <f>F8+F521+F913+F927+F999+F1147+F1171+F1186+F1216+F1247+F1278+F1309+F1340+F1371+F1402</f>
        <v>733675948</v>
      </c>
      <c r="G1449" s="366">
        <f>G8+G521+G913+G927+G999+G1147+G1171+G1186+G1216+G1247+G1278+G1309+G1340+G1371+G1402</f>
        <v>119786278</v>
      </c>
      <c r="H1449" s="366">
        <f>H8+H521+H913+H927+H999+H1147+H1171+H1186+H1216+H1247+H1278+H1309+H1340+H1371+H1402</f>
        <v>502980525</v>
      </c>
      <c r="I1449" s="366">
        <f>I8+I521+I913+I927+I999+I1147+I1171+I1186+I1216+I1247+I1278+I1309+I1340+I1371+I1402</f>
        <v>108959145</v>
      </c>
      <c r="J1449" s="441">
        <f>J8+J521+J913+J927+J999+J1147+J1171+J1186+J1216+J1247+J1278+J1309+J1340+J1371+J1402</f>
        <v>1950000</v>
      </c>
      <c r="K1449" s="371"/>
    </row>
    <row r="1450" spans="1:11" s="106" customFormat="1">
      <c r="A1450" s="1555"/>
      <c r="B1450" s="1555"/>
      <c r="C1450" s="1555"/>
      <c r="D1450" s="1555"/>
      <c r="E1450" s="1555"/>
      <c r="F1450" s="1555"/>
      <c r="G1450" s="1555"/>
      <c r="H1450" s="1555"/>
      <c r="I1450" s="1555"/>
      <c r="J1450" s="1555"/>
    </row>
    <row r="1451" spans="1:11" s="106" customFormat="1">
      <c r="A1451" s="442"/>
      <c r="B1451" s="442"/>
      <c r="C1451" s="442"/>
      <c r="D1451" s="442"/>
      <c r="E1451" s="442"/>
      <c r="F1451" s="443"/>
      <c r="G1451" s="443"/>
      <c r="H1451" s="443"/>
      <c r="I1451" s="443"/>
      <c r="J1451" s="443"/>
    </row>
    <row r="1452" spans="1:11" s="33" customFormat="1">
      <c r="A1452" s="444"/>
      <c r="B1452" s="444"/>
      <c r="C1452" s="445"/>
      <c r="D1452" s="445"/>
      <c r="E1452" s="367"/>
      <c r="F1452" s="446"/>
      <c r="G1452" s="446"/>
      <c r="H1452" s="446"/>
      <c r="I1452" s="446"/>
      <c r="J1452" s="446"/>
    </row>
    <row r="1453" spans="1:11" s="33" customFormat="1">
      <c r="A1453" s="444"/>
      <c r="B1453" s="444"/>
      <c r="C1453" s="445"/>
      <c r="D1453" s="445"/>
      <c r="E1453" s="370"/>
      <c r="F1453" s="447"/>
      <c r="G1453" s="447"/>
      <c r="H1453" s="447"/>
      <c r="I1453" s="447"/>
      <c r="J1453" s="447"/>
    </row>
    <row r="1454" spans="1:11" s="33" customFormat="1">
      <c r="A1454" s="444"/>
      <c r="B1454" s="444"/>
      <c r="C1454" s="445"/>
      <c r="D1454" s="445"/>
      <c r="E1454" s="372"/>
      <c r="F1454" s="446"/>
      <c r="G1454" s="446"/>
      <c r="H1454" s="446"/>
      <c r="I1454" s="446"/>
      <c r="J1454" s="446"/>
    </row>
    <row r="1455" spans="1:11" s="33" customFormat="1">
      <c r="A1455" s="444"/>
      <c r="B1455" s="444"/>
      <c r="C1455" s="445"/>
      <c r="D1455" s="445"/>
      <c r="E1455" s="372"/>
      <c r="F1455" s="446"/>
      <c r="G1455" s="446"/>
      <c r="H1455" s="446"/>
      <c r="I1455" s="446"/>
      <c r="J1455" s="446"/>
    </row>
    <row r="1456" spans="1:11" s="33" customFormat="1">
      <c r="A1456" s="444"/>
      <c r="B1456" s="444"/>
      <c r="C1456" s="445"/>
      <c r="D1456" s="445"/>
      <c r="E1456" s="448"/>
      <c r="F1456" s="446"/>
      <c r="G1456" s="446"/>
      <c r="H1456" s="446"/>
      <c r="I1456" s="446"/>
      <c r="J1456" s="446"/>
    </row>
    <row r="1457" spans="1:10" s="33" customFormat="1">
      <c r="A1457" s="444"/>
      <c r="B1457" s="444"/>
      <c r="C1457" s="445"/>
      <c r="D1457" s="445"/>
      <c r="E1457" s="449"/>
      <c r="F1457" s="447"/>
      <c r="G1457" s="447"/>
      <c r="H1457" s="447"/>
      <c r="I1457" s="447"/>
      <c r="J1457" s="447"/>
    </row>
    <row r="1458" spans="1:10" s="33" customFormat="1">
      <c r="A1458" s="444"/>
      <c r="B1458" s="444"/>
      <c r="C1458" s="445"/>
      <c r="D1458" s="445"/>
      <c r="E1458" s="450"/>
      <c r="F1458" s="451"/>
      <c r="G1458" s="451"/>
      <c r="H1458" s="451"/>
      <c r="I1458" s="451"/>
      <c r="J1458" s="451"/>
    </row>
    <row r="1459" spans="1:10" s="33" customFormat="1">
      <c r="C1459" s="273"/>
      <c r="D1459" s="273"/>
      <c r="F1459" s="446"/>
      <c r="G1459" s="446"/>
      <c r="H1459" s="446"/>
      <c r="I1459" s="446"/>
      <c r="J1459" s="446"/>
    </row>
    <row r="1460" spans="1:10" s="33" customFormat="1">
      <c r="C1460" s="273"/>
      <c r="D1460" s="273"/>
      <c r="F1460" s="446"/>
      <c r="G1460" s="446"/>
      <c r="H1460" s="446"/>
      <c r="I1460" s="446"/>
      <c r="J1460" s="446"/>
    </row>
    <row r="1461" spans="1:10" s="33" customFormat="1">
      <c r="C1461" s="273"/>
      <c r="D1461" s="273"/>
      <c r="F1461" s="446"/>
      <c r="G1461" s="446"/>
      <c r="H1461" s="446"/>
      <c r="I1461" s="446"/>
      <c r="J1461" s="446"/>
    </row>
    <row r="1462" spans="1:10" s="444" customFormat="1">
      <c r="C1462" s="445"/>
      <c r="D1462" s="445"/>
      <c r="E1462" s="448"/>
      <c r="F1462" s="446"/>
      <c r="G1462" s="446"/>
      <c r="H1462" s="446"/>
      <c r="I1462" s="446"/>
      <c r="J1462" s="446"/>
    </row>
    <row r="1463" spans="1:10" s="444" customFormat="1">
      <c r="C1463" s="445"/>
      <c r="D1463" s="445"/>
      <c r="E1463" s="448"/>
      <c r="F1463" s="446"/>
      <c r="G1463" s="446"/>
      <c r="H1463" s="446"/>
      <c r="I1463" s="446"/>
      <c r="J1463" s="446"/>
    </row>
    <row r="1464" spans="1:10" s="444" customFormat="1">
      <c r="C1464" s="445"/>
      <c r="D1464" s="445"/>
      <c r="E1464" s="448"/>
      <c r="F1464" s="446"/>
      <c r="G1464" s="446"/>
      <c r="H1464" s="446"/>
      <c r="I1464" s="446"/>
      <c r="J1464" s="446"/>
    </row>
    <row r="1465" spans="1:10" s="444" customFormat="1">
      <c r="C1465" s="445"/>
      <c r="D1465" s="445"/>
      <c r="E1465" s="450"/>
      <c r="F1465" s="451"/>
      <c r="G1465" s="451"/>
      <c r="H1465" s="451"/>
      <c r="I1465" s="451"/>
      <c r="J1465" s="451"/>
    </row>
    <row r="1466" spans="1:10" s="33" customFormat="1">
      <c r="C1466" s="273"/>
      <c r="D1466" s="273"/>
      <c r="F1466" s="446"/>
      <c r="G1466" s="446"/>
      <c r="H1466" s="446"/>
      <c r="I1466" s="446"/>
      <c r="J1466" s="446"/>
    </row>
    <row r="1467" spans="1:10" s="452" customFormat="1">
      <c r="C1467" s="453"/>
      <c r="D1467" s="453"/>
      <c r="E1467" s="453"/>
      <c r="F1467" s="451"/>
      <c r="G1467" s="451"/>
      <c r="H1467" s="451"/>
      <c r="I1467" s="451"/>
      <c r="J1467" s="451"/>
    </row>
    <row r="1468" spans="1:10" s="33" customFormat="1">
      <c r="C1468" s="273"/>
      <c r="D1468" s="273"/>
      <c r="F1468" s="446"/>
      <c r="G1468" s="446"/>
      <c r="H1468" s="446"/>
      <c r="I1468" s="446"/>
      <c r="J1468" s="446"/>
    </row>
    <row r="1469" spans="1:10" s="33" customFormat="1">
      <c r="C1469" s="273"/>
      <c r="D1469" s="273"/>
    </row>
  </sheetData>
  <mergeCells count="358"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  <mergeCell ref="A26:A48"/>
    <mergeCell ref="B26:B48"/>
    <mergeCell ref="C26:C48"/>
    <mergeCell ref="D26:D48"/>
    <mergeCell ref="A49:A60"/>
    <mergeCell ref="B49:B60"/>
    <mergeCell ref="C49:C60"/>
    <mergeCell ref="D49:D60"/>
    <mergeCell ref="B8:E8"/>
    <mergeCell ref="A9:J9"/>
    <mergeCell ref="A10:A18"/>
    <mergeCell ref="B10:B18"/>
    <mergeCell ref="C10:D15"/>
    <mergeCell ref="A19:A25"/>
    <mergeCell ref="B19:B25"/>
    <mergeCell ref="C19:D24"/>
    <mergeCell ref="A96:A130"/>
    <mergeCell ref="B96:B130"/>
    <mergeCell ref="C96:C130"/>
    <mergeCell ref="D96:D130"/>
    <mergeCell ref="A131:A143"/>
    <mergeCell ref="B131:B143"/>
    <mergeCell ref="C131:C143"/>
    <mergeCell ref="D131:D143"/>
    <mergeCell ref="A62:A79"/>
    <mergeCell ref="B62:B79"/>
    <mergeCell ref="C62:C79"/>
    <mergeCell ref="D62:D79"/>
    <mergeCell ref="A80:A94"/>
    <mergeCell ref="B80:B94"/>
    <mergeCell ref="C80:C94"/>
    <mergeCell ref="D80:D94"/>
    <mergeCell ref="A176:A197"/>
    <mergeCell ref="B176:B197"/>
    <mergeCell ref="C176:C197"/>
    <mergeCell ref="D176:D197"/>
    <mergeCell ref="A198:A211"/>
    <mergeCell ref="B198:B211"/>
    <mergeCell ref="C198:C211"/>
    <mergeCell ref="D198:D211"/>
    <mergeCell ref="A144:A156"/>
    <mergeCell ref="B144:B156"/>
    <mergeCell ref="C144:C156"/>
    <mergeCell ref="D144:D156"/>
    <mergeCell ref="A157:A173"/>
    <mergeCell ref="B157:B173"/>
    <mergeCell ref="C157:C173"/>
    <mergeCell ref="D157:D173"/>
    <mergeCell ref="A242:A255"/>
    <mergeCell ref="B242:B255"/>
    <mergeCell ref="C242:C255"/>
    <mergeCell ref="D242:D255"/>
    <mergeCell ref="A256:A273"/>
    <mergeCell ref="B256:B273"/>
    <mergeCell ref="C256:C273"/>
    <mergeCell ref="D256:D273"/>
    <mergeCell ref="A212:A225"/>
    <mergeCell ref="B212:B225"/>
    <mergeCell ref="C212:C225"/>
    <mergeCell ref="D212:D225"/>
    <mergeCell ref="A226:A241"/>
    <mergeCell ref="B226:B241"/>
    <mergeCell ref="C226:C241"/>
    <mergeCell ref="D226:D241"/>
    <mergeCell ref="A308:A328"/>
    <mergeCell ref="B308:B328"/>
    <mergeCell ref="C308:C328"/>
    <mergeCell ref="D308:D328"/>
    <mergeCell ref="A331:A361"/>
    <mergeCell ref="B331:B361"/>
    <mergeCell ref="C331:C361"/>
    <mergeCell ref="D331:D361"/>
    <mergeCell ref="A274:A284"/>
    <mergeCell ref="B274:B284"/>
    <mergeCell ref="C274:C284"/>
    <mergeCell ref="D274:D284"/>
    <mergeCell ref="A285:A305"/>
    <mergeCell ref="B285:B305"/>
    <mergeCell ref="C285:C305"/>
    <mergeCell ref="D285:D305"/>
    <mergeCell ref="A420:A440"/>
    <mergeCell ref="B420:B440"/>
    <mergeCell ref="C420:C440"/>
    <mergeCell ref="D420:D440"/>
    <mergeCell ref="A443:A465"/>
    <mergeCell ref="B443:B465"/>
    <mergeCell ref="C443:C465"/>
    <mergeCell ref="D443:D465"/>
    <mergeCell ref="A364:A392"/>
    <mergeCell ref="B364:B392"/>
    <mergeCell ref="C364:C392"/>
    <mergeCell ref="D364:D392"/>
    <mergeCell ref="A395:A417"/>
    <mergeCell ref="B395:B417"/>
    <mergeCell ref="C395:C417"/>
    <mergeCell ref="D395:D417"/>
    <mergeCell ref="B521:E521"/>
    <mergeCell ref="A522:J522"/>
    <mergeCell ref="A523:A537"/>
    <mergeCell ref="B523:B537"/>
    <mergeCell ref="C523:C537"/>
    <mergeCell ref="D523:D537"/>
    <mergeCell ref="A468:A496"/>
    <mergeCell ref="B468:B496"/>
    <mergeCell ref="C468:C496"/>
    <mergeCell ref="D468:D496"/>
    <mergeCell ref="A499:A520"/>
    <mergeCell ref="B499:B520"/>
    <mergeCell ref="C499:C520"/>
    <mergeCell ref="D499:D520"/>
    <mergeCell ref="A568:A582"/>
    <mergeCell ref="B568:B582"/>
    <mergeCell ref="C568:C582"/>
    <mergeCell ref="D568:D582"/>
    <mergeCell ref="A583:A597"/>
    <mergeCell ref="B583:B597"/>
    <mergeCell ref="C583:C597"/>
    <mergeCell ref="D583:D597"/>
    <mergeCell ref="A538:A552"/>
    <mergeCell ref="B538:B552"/>
    <mergeCell ref="C538:C552"/>
    <mergeCell ref="D538:D552"/>
    <mergeCell ref="A553:A567"/>
    <mergeCell ref="B553:B567"/>
    <mergeCell ref="C553:C567"/>
    <mergeCell ref="D553:D567"/>
    <mergeCell ref="A628:A642"/>
    <mergeCell ref="B628:B642"/>
    <mergeCell ref="C628:C642"/>
    <mergeCell ref="D628:D642"/>
    <mergeCell ref="A643:A657"/>
    <mergeCell ref="B643:B657"/>
    <mergeCell ref="C643:C657"/>
    <mergeCell ref="D643:D657"/>
    <mergeCell ref="A598:A612"/>
    <mergeCell ref="B598:B612"/>
    <mergeCell ref="C598:C612"/>
    <mergeCell ref="D598:D612"/>
    <mergeCell ref="A613:A627"/>
    <mergeCell ref="B613:B627"/>
    <mergeCell ref="C613:C627"/>
    <mergeCell ref="D613:D627"/>
    <mergeCell ref="A688:A702"/>
    <mergeCell ref="B688:B702"/>
    <mergeCell ref="C688:C702"/>
    <mergeCell ref="D688:D702"/>
    <mergeCell ref="A703:A717"/>
    <mergeCell ref="B703:B717"/>
    <mergeCell ref="C703:C717"/>
    <mergeCell ref="D703:D717"/>
    <mergeCell ref="A658:A672"/>
    <mergeCell ref="B658:B672"/>
    <mergeCell ref="C658:C672"/>
    <mergeCell ref="D658:D672"/>
    <mergeCell ref="A673:A687"/>
    <mergeCell ref="B673:B687"/>
    <mergeCell ref="C673:C687"/>
    <mergeCell ref="D673:D687"/>
    <mergeCell ref="A748:A762"/>
    <mergeCell ref="B748:B762"/>
    <mergeCell ref="C748:C762"/>
    <mergeCell ref="D748:D762"/>
    <mergeCell ref="A763:A777"/>
    <mergeCell ref="B763:B777"/>
    <mergeCell ref="C763:C777"/>
    <mergeCell ref="D763:D777"/>
    <mergeCell ref="A718:A732"/>
    <mergeCell ref="B718:B732"/>
    <mergeCell ref="C718:C732"/>
    <mergeCell ref="D718:D732"/>
    <mergeCell ref="A733:A747"/>
    <mergeCell ref="B733:B747"/>
    <mergeCell ref="C733:C747"/>
    <mergeCell ref="D733:D747"/>
    <mergeCell ref="A808:A822"/>
    <mergeCell ref="B808:B822"/>
    <mergeCell ref="C808:C822"/>
    <mergeCell ref="D808:D822"/>
    <mergeCell ref="A823:A837"/>
    <mergeCell ref="B823:B837"/>
    <mergeCell ref="C823:C837"/>
    <mergeCell ref="D823:D837"/>
    <mergeCell ref="A778:A792"/>
    <mergeCell ref="B778:B792"/>
    <mergeCell ref="C778:C792"/>
    <mergeCell ref="D778:D792"/>
    <mergeCell ref="A793:A807"/>
    <mergeCell ref="B793:B807"/>
    <mergeCell ref="C793:C807"/>
    <mergeCell ref="D793:D807"/>
    <mergeCell ref="A868:A882"/>
    <mergeCell ref="B868:B882"/>
    <mergeCell ref="C868:C882"/>
    <mergeCell ref="D868:D882"/>
    <mergeCell ref="A883:A897"/>
    <mergeCell ref="B883:B897"/>
    <mergeCell ref="C883:C897"/>
    <mergeCell ref="D883:D897"/>
    <mergeCell ref="A838:A852"/>
    <mergeCell ref="B838:B852"/>
    <mergeCell ref="C838:C852"/>
    <mergeCell ref="D838:D852"/>
    <mergeCell ref="A853:A867"/>
    <mergeCell ref="B853:B867"/>
    <mergeCell ref="C853:C867"/>
    <mergeCell ref="D853:D867"/>
    <mergeCell ref="A915:A926"/>
    <mergeCell ref="B915:B926"/>
    <mergeCell ref="C915:C926"/>
    <mergeCell ref="D915:D926"/>
    <mergeCell ref="B927:E927"/>
    <mergeCell ref="A928:J928"/>
    <mergeCell ref="A898:A912"/>
    <mergeCell ref="B898:B912"/>
    <mergeCell ref="C898:C912"/>
    <mergeCell ref="D898:D912"/>
    <mergeCell ref="B913:E913"/>
    <mergeCell ref="A914:J914"/>
    <mergeCell ref="A929:A941"/>
    <mergeCell ref="B929:B941"/>
    <mergeCell ref="C929:C941"/>
    <mergeCell ref="D929:D937"/>
    <mergeCell ref="D939:D941"/>
    <mergeCell ref="A942:A954"/>
    <mergeCell ref="B942:B954"/>
    <mergeCell ref="C942:C954"/>
    <mergeCell ref="D942:D950"/>
    <mergeCell ref="D952:D954"/>
    <mergeCell ref="A977:A987"/>
    <mergeCell ref="B977:B987"/>
    <mergeCell ref="C977:C987"/>
    <mergeCell ref="D977:D985"/>
    <mergeCell ref="A988:A998"/>
    <mergeCell ref="B988:B998"/>
    <mergeCell ref="C988:C998"/>
    <mergeCell ref="D988:D996"/>
    <mergeCell ref="A955:A965"/>
    <mergeCell ref="B955:B965"/>
    <mergeCell ref="C955:C965"/>
    <mergeCell ref="D955:D963"/>
    <mergeCell ref="A966:A976"/>
    <mergeCell ref="B966:B976"/>
    <mergeCell ref="C966:C976"/>
    <mergeCell ref="D966:D974"/>
    <mergeCell ref="D1015:D1016"/>
    <mergeCell ref="C1017:C1018"/>
    <mergeCell ref="B999:E999"/>
    <mergeCell ref="A1000:J1000"/>
    <mergeCell ref="A1001:A1008"/>
    <mergeCell ref="B1001:B1008"/>
    <mergeCell ref="C1001:D1002"/>
    <mergeCell ref="C1003:C1004"/>
    <mergeCell ref="D1003:D1004"/>
    <mergeCell ref="C1006:D1006"/>
    <mergeCell ref="A1053:A1064"/>
    <mergeCell ref="B1053:B1064"/>
    <mergeCell ref="C1053:C1064"/>
    <mergeCell ref="D1053:D1064"/>
    <mergeCell ref="A1065:A1104"/>
    <mergeCell ref="B1065:B1104"/>
    <mergeCell ref="C1065:C1104"/>
    <mergeCell ref="D1065:D1104"/>
    <mergeCell ref="D1017:D1018"/>
    <mergeCell ref="C1019:C1020"/>
    <mergeCell ref="D1019:D1020"/>
    <mergeCell ref="C1021:D1021"/>
    <mergeCell ref="A1024:A1052"/>
    <mergeCell ref="B1024:B1052"/>
    <mergeCell ref="C1024:C1052"/>
    <mergeCell ref="D1024:D1052"/>
    <mergeCell ref="A1009:A1023"/>
    <mergeCell ref="B1009:B1023"/>
    <mergeCell ref="C1009:D1010"/>
    <mergeCell ref="C1011:C1012"/>
    <mergeCell ref="D1011:D1012"/>
    <mergeCell ref="C1013:C1014"/>
    <mergeCell ref="D1013:D1014"/>
    <mergeCell ref="C1015:C1016"/>
    <mergeCell ref="A1149:A1170"/>
    <mergeCell ref="B1149:B1170"/>
    <mergeCell ref="C1149:C1170"/>
    <mergeCell ref="D1149:D1170"/>
    <mergeCell ref="B1171:E1171"/>
    <mergeCell ref="A1172:J1172"/>
    <mergeCell ref="A1107:A1146"/>
    <mergeCell ref="B1107:B1146"/>
    <mergeCell ref="C1107:C1146"/>
    <mergeCell ref="D1107:D1146"/>
    <mergeCell ref="B1147:E1147"/>
    <mergeCell ref="A1148:J1148"/>
    <mergeCell ref="A1188:A1213"/>
    <mergeCell ref="B1188:B1213"/>
    <mergeCell ref="C1188:C1213"/>
    <mergeCell ref="D1188:D1213"/>
    <mergeCell ref="B1216:E1216"/>
    <mergeCell ref="A1217:J1217"/>
    <mergeCell ref="A1173:A1183"/>
    <mergeCell ref="B1173:B1183"/>
    <mergeCell ref="C1173:C1183"/>
    <mergeCell ref="D1173:D1183"/>
    <mergeCell ref="B1186:E1186"/>
    <mergeCell ref="A1187:J1187"/>
    <mergeCell ref="A1249:A1277"/>
    <mergeCell ref="B1249:B1277"/>
    <mergeCell ref="C1249:C1277"/>
    <mergeCell ref="D1249:D1277"/>
    <mergeCell ref="B1278:E1278"/>
    <mergeCell ref="A1279:J1279"/>
    <mergeCell ref="A1218:A1246"/>
    <mergeCell ref="B1218:B1246"/>
    <mergeCell ref="C1218:C1246"/>
    <mergeCell ref="D1218:D1246"/>
    <mergeCell ref="B1247:E1247"/>
    <mergeCell ref="A1248:J1248"/>
    <mergeCell ref="A1311:A1339"/>
    <mergeCell ref="B1311:B1339"/>
    <mergeCell ref="C1311:C1339"/>
    <mergeCell ref="D1311:D1339"/>
    <mergeCell ref="B1340:E1340"/>
    <mergeCell ref="A1341:J1341"/>
    <mergeCell ref="A1280:A1306"/>
    <mergeCell ref="B1280:B1306"/>
    <mergeCell ref="C1280:C1306"/>
    <mergeCell ref="D1280:D1306"/>
    <mergeCell ref="B1309:E1309"/>
    <mergeCell ref="A1310:J1310"/>
    <mergeCell ref="A1373:A1401"/>
    <mergeCell ref="B1373:B1401"/>
    <mergeCell ref="C1373:C1401"/>
    <mergeCell ref="D1373:D1401"/>
    <mergeCell ref="B1402:E1402"/>
    <mergeCell ref="A1403:J1403"/>
    <mergeCell ref="A1342:A1370"/>
    <mergeCell ref="B1342:B1370"/>
    <mergeCell ref="C1342:C1370"/>
    <mergeCell ref="D1342:D1370"/>
    <mergeCell ref="B1371:E1371"/>
    <mergeCell ref="A1372:J1372"/>
    <mergeCell ref="A1449:E1449"/>
    <mergeCell ref="A1450:J1450"/>
    <mergeCell ref="A1404:A1432"/>
    <mergeCell ref="B1404:B1432"/>
    <mergeCell ref="C1404:C1432"/>
    <mergeCell ref="D1404:D1432"/>
    <mergeCell ref="A1433:A1448"/>
    <mergeCell ref="B1433:B1448"/>
    <mergeCell ref="C1433:C1448"/>
    <mergeCell ref="D1433:D144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30" manualBreakCount="30">
    <brk id="25" max="9" man="1"/>
    <brk id="61" max="9" man="1"/>
    <brk id="95" max="9" man="1"/>
    <brk id="255" max="9" man="1"/>
    <brk id="284" max="9" man="1"/>
    <brk id="307" max="9" man="1"/>
    <brk id="330" max="9" man="1"/>
    <brk id="363" max="9" man="1"/>
    <brk id="394" max="9" man="1"/>
    <brk id="419" max="9" man="1"/>
    <brk id="442" max="9" man="1"/>
    <brk id="467" max="9" man="1"/>
    <brk id="498" max="9" man="1"/>
    <brk id="537" max="9" man="1"/>
    <brk id="672" max="9" man="1"/>
    <brk id="732" max="9" man="1"/>
    <brk id="792" max="9" man="1"/>
    <brk id="926" max="9" man="1"/>
    <brk id="1023" max="9" man="1"/>
    <brk id="1064" max="9" man="1"/>
    <brk id="1104" max="9" man="1"/>
    <brk id="1183" max="9" man="1"/>
    <brk id="1215" max="9" man="1"/>
    <brk id="1246" max="9" man="1"/>
    <brk id="1277" max="9" man="1"/>
    <brk id="1308" max="9" man="1"/>
    <brk id="1339" max="9" man="1"/>
    <brk id="1370" max="9" man="1"/>
    <brk id="1401" max="9" man="1"/>
    <brk id="1432" max="9" man="1"/>
  </rowBreaks>
  <colBreaks count="1" manualBreakCount="1">
    <brk id="10" max="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J61"/>
  <sheetViews>
    <sheetView view="pageBreakPreview" zoomScaleNormal="100" zoomScaleSheetLayoutView="100" workbookViewId="0">
      <selection activeCell="C1" sqref="C1:F1"/>
    </sheetView>
  </sheetViews>
  <sheetFormatPr defaultRowHeight="12.75"/>
  <cols>
    <col min="1" max="1" width="5.140625" style="1" customWidth="1"/>
    <col min="2" max="2" width="51.57031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1623"/>
      <c r="B1" s="1623"/>
      <c r="C1" s="1624" t="s">
        <v>1115</v>
      </c>
      <c r="D1" s="1624"/>
      <c r="E1" s="1624"/>
      <c r="F1" s="1624"/>
    </row>
    <row r="2" spans="1:6" ht="15">
      <c r="A2" s="1625" t="s">
        <v>57</v>
      </c>
      <c r="B2" s="1625"/>
      <c r="C2" s="1625"/>
      <c r="D2" s="1625"/>
      <c r="E2" s="1625"/>
      <c r="F2" s="1625"/>
    </row>
    <row r="3" spans="1:6" ht="9" customHeight="1">
      <c r="A3" s="33"/>
      <c r="B3" s="33"/>
      <c r="C3" s="33"/>
      <c r="D3" s="33"/>
      <c r="E3" s="33"/>
      <c r="F3" s="33"/>
    </row>
    <row r="4" spans="1:6" ht="15" thickBot="1">
      <c r="A4" s="1626" t="s">
        <v>24</v>
      </c>
      <c r="B4" s="1626"/>
      <c r="C4" s="1626"/>
      <c r="D4" s="1626"/>
      <c r="E4" s="1626"/>
      <c r="F4" s="1626"/>
    </row>
    <row r="5" spans="1:6" ht="35.25" customHeight="1" thickBot="1">
      <c r="A5" s="251" t="s">
        <v>15</v>
      </c>
      <c r="B5" s="251" t="s">
        <v>34</v>
      </c>
      <c r="C5" s="251" t="s">
        <v>0</v>
      </c>
      <c r="D5" s="251" t="s">
        <v>1</v>
      </c>
      <c r="E5" s="251" t="s">
        <v>5</v>
      </c>
      <c r="F5" s="32" t="s">
        <v>33</v>
      </c>
    </row>
    <row r="6" spans="1:6">
      <c r="A6" s="238">
        <v>1</v>
      </c>
      <c r="B6" s="3" t="s">
        <v>56</v>
      </c>
      <c r="C6" s="1627">
        <v>921</v>
      </c>
      <c r="D6" s="1630">
        <v>92118</v>
      </c>
      <c r="E6" s="1607">
        <v>2480</v>
      </c>
      <c r="F6" s="253">
        <v>3920000</v>
      </c>
    </row>
    <row r="7" spans="1:6">
      <c r="A7" s="254">
        <v>2</v>
      </c>
      <c r="B7" s="26" t="s">
        <v>55</v>
      </c>
      <c r="C7" s="1628"/>
      <c r="D7" s="1631"/>
      <c r="E7" s="1608"/>
      <c r="F7" s="28">
        <v>2960000</v>
      </c>
    </row>
    <row r="8" spans="1:6">
      <c r="A8" s="254">
        <v>3</v>
      </c>
      <c r="B8" s="26" t="s">
        <v>54</v>
      </c>
      <c r="C8" s="1628"/>
      <c r="D8" s="1631"/>
      <c r="E8" s="1608"/>
      <c r="F8" s="27">
        <v>3052000</v>
      </c>
    </row>
    <row r="9" spans="1:6">
      <c r="A9" s="254">
        <v>4</v>
      </c>
      <c r="B9" s="26" t="s">
        <v>53</v>
      </c>
      <c r="C9" s="1628"/>
      <c r="D9" s="1631"/>
      <c r="E9" s="1608"/>
      <c r="F9" s="27">
        <v>2430000</v>
      </c>
    </row>
    <row r="10" spans="1:6" ht="15" customHeight="1">
      <c r="A10" s="254">
        <v>5</v>
      </c>
      <c r="B10" s="26" t="s">
        <v>52</v>
      </c>
      <c r="C10" s="1628"/>
      <c r="D10" s="1631"/>
      <c r="E10" s="1608"/>
      <c r="F10" s="27">
        <v>3620000</v>
      </c>
    </row>
    <row r="11" spans="1:6">
      <c r="A11" s="254">
        <v>6</v>
      </c>
      <c r="B11" s="26" t="s">
        <v>51</v>
      </c>
      <c r="C11" s="1628"/>
      <c r="D11" s="1631"/>
      <c r="E11" s="1608"/>
      <c r="F11" s="27">
        <v>3367598</v>
      </c>
    </row>
    <row r="12" spans="1:6" ht="13.5" thickBot="1">
      <c r="A12" s="255">
        <v>7</v>
      </c>
      <c r="B12" s="29" t="s">
        <v>50</v>
      </c>
      <c r="C12" s="1628"/>
      <c r="D12" s="1632"/>
      <c r="E12" s="1608"/>
      <c r="F12" s="112">
        <v>642000</v>
      </c>
    </row>
    <row r="13" spans="1:6" ht="13.5" thickBot="1">
      <c r="A13" s="1633" t="s">
        <v>49</v>
      </c>
      <c r="B13" s="1634"/>
      <c r="C13" s="1628"/>
      <c r="D13" s="31">
        <v>92118</v>
      </c>
      <c r="E13" s="1608"/>
      <c r="F13" s="113">
        <f>SUM(F6:F12)</f>
        <v>19991598</v>
      </c>
    </row>
    <row r="14" spans="1:6">
      <c r="A14" s="30">
        <v>8</v>
      </c>
      <c r="B14" s="3" t="s">
        <v>48</v>
      </c>
      <c r="C14" s="1628"/>
      <c r="D14" s="1630">
        <v>92109</v>
      </c>
      <c r="E14" s="1608"/>
      <c r="F14" s="256">
        <v>3384120</v>
      </c>
    </row>
    <row r="15" spans="1:6" ht="13.5" thickBot="1">
      <c r="A15" s="255">
        <v>9</v>
      </c>
      <c r="B15" s="29" t="s">
        <v>47</v>
      </c>
      <c r="C15" s="1628"/>
      <c r="D15" s="1632"/>
      <c r="E15" s="1608"/>
      <c r="F15" s="112">
        <v>2150000</v>
      </c>
    </row>
    <row r="16" spans="1:6" ht="13.5" thickBot="1">
      <c r="A16" s="1633" t="s">
        <v>46</v>
      </c>
      <c r="B16" s="1634"/>
      <c r="C16" s="1628"/>
      <c r="D16" s="31">
        <v>92109</v>
      </c>
      <c r="E16" s="1608"/>
      <c r="F16" s="113">
        <f>SUM(F14:F15)</f>
        <v>5534120</v>
      </c>
    </row>
    <row r="17" spans="1:10">
      <c r="A17" s="30">
        <v>10</v>
      </c>
      <c r="B17" s="3" t="s">
        <v>45</v>
      </c>
      <c r="C17" s="1628"/>
      <c r="D17" s="240">
        <v>92106</v>
      </c>
      <c r="E17" s="1608"/>
      <c r="F17" s="256">
        <v>4672100</v>
      </c>
    </row>
    <row r="18" spans="1:10" ht="25.5">
      <c r="A18" s="254">
        <v>11</v>
      </c>
      <c r="B18" s="26" t="s">
        <v>44</v>
      </c>
      <c r="C18" s="1628"/>
      <c r="D18" s="241">
        <v>92108</v>
      </c>
      <c r="E18" s="1608"/>
      <c r="F18" s="114">
        <f>5821000+200000</f>
        <v>6021000</v>
      </c>
    </row>
    <row r="19" spans="1:10">
      <c r="A19" s="254">
        <v>12</v>
      </c>
      <c r="B19" s="26" t="s">
        <v>43</v>
      </c>
      <c r="C19" s="1628"/>
      <c r="D19" s="241">
        <v>92110</v>
      </c>
      <c r="E19" s="1608"/>
      <c r="F19" s="114">
        <v>508000</v>
      </c>
    </row>
    <row r="20" spans="1:10" ht="17.25" customHeight="1">
      <c r="A20" s="254">
        <v>13</v>
      </c>
      <c r="B20" s="26" t="s">
        <v>42</v>
      </c>
      <c r="C20" s="1628"/>
      <c r="D20" s="241">
        <v>92114</v>
      </c>
      <c r="E20" s="1608"/>
      <c r="F20" s="114">
        <v>1360000</v>
      </c>
    </row>
    <row r="21" spans="1:10" ht="26.25" thickBot="1">
      <c r="A21" s="239">
        <v>14</v>
      </c>
      <c r="B21" s="29" t="s">
        <v>41</v>
      </c>
      <c r="C21" s="1629"/>
      <c r="D21" s="242">
        <v>92116</v>
      </c>
      <c r="E21" s="1615"/>
      <c r="F21" s="115">
        <v>7214016</v>
      </c>
      <c r="G21" s="2"/>
      <c r="J21" s="5"/>
    </row>
    <row r="22" spans="1:10" ht="15.75" thickBot="1">
      <c r="A22" s="1604" t="s">
        <v>40</v>
      </c>
      <c r="B22" s="1605"/>
      <c r="C22" s="1605"/>
      <c r="D22" s="1606"/>
      <c r="E22" s="236"/>
      <c r="F22" s="20">
        <f>SUM(F13,F16,F17:F21)</f>
        <v>45300834</v>
      </c>
      <c r="G22" s="2"/>
    </row>
    <row r="23" spans="1:10" ht="25.5">
      <c r="A23" s="238">
        <v>15</v>
      </c>
      <c r="B23" s="3" t="s">
        <v>117</v>
      </c>
      <c r="C23" s="1621">
        <v>851</v>
      </c>
      <c r="D23" s="1607">
        <v>85111</v>
      </c>
      <c r="E23" s="1618">
        <v>2560</v>
      </c>
      <c r="F23" s="253">
        <v>31950</v>
      </c>
    </row>
    <row r="24" spans="1:10">
      <c r="A24" s="30">
        <v>16</v>
      </c>
      <c r="B24" s="26" t="s">
        <v>108</v>
      </c>
      <c r="C24" s="1265"/>
      <c r="D24" s="1608"/>
      <c r="E24" s="1619"/>
      <c r="F24" s="28">
        <v>24000</v>
      </c>
    </row>
    <row r="25" spans="1:10" ht="25.5">
      <c r="A25" s="30">
        <v>17</v>
      </c>
      <c r="B25" s="257" t="s">
        <v>191</v>
      </c>
      <c r="C25" s="1265"/>
      <c r="D25" s="1608"/>
      <c r="E25" s="1619"/>
      <c r="F25" s="258">
        <v>40000</v>
      </c>
    </row>
    <row r="26" spans="1:10" ht="15" customHeight="1" thickBot="1">
      <c r="A26" s="254">
        <v>18</v>
      </c>
      <c r="B26" s="26" t="s">
        <v>39</v>
      </c>
      <c r="C26" s="1265"/>
      <c r="D26" s="1608"/>
      <c r="E26" s="1619"/>
      <c r="F26" s="27">
        <v>40000</v>
      </c>
      <c r="G26" s="2"/>
    </row>
    <row r="27" spans="1:10" s="109" customFormat="1" ht="15" customHeight="1" thickBot="1">
      <c r="A27" s="1616" t="s">
        <v>38</v>
      </c>
      <c r="B27" s="1617"/>
      <c r="C27" s="1265"/>
      <c r="D27" s="107">
        <v>85111</v>
      </c>
      <c r="E27" s="1619"/>
      <c r="F27" s="108">
        <f>SUM(F23:F26)</f>
        <v>135950</v>
      </c>
    </row>
    <row r="28" spans="1:10" ht="28.5" customHeight="1">
      <c r="A28" s="238">
        <v>19</v>
      </c>
      <c r="B28" s="265" t="s">
        <v>196</v>
      </c>
      <c r="C28" s="1265"/>
      <c r="D28" s="267">
        <v>85120</v>
      </c>
      <c r="E28" s="1619"/>
      <c r="F28" s="268">
        <v>15000</v>
      </c>
    </row>
    <row r="29" spans="1:10" ht="28.5" customHeight="1" thickBot="1">
      <c r="A29" s="239">
        <v>20</v>
      </c>
      <c r="B29" s="266" t="s">
        <v>37</v>
      </c>
      <c r="C29" s="1622"/>
      <c r="D29" s="237">
        <v>85148</v>
      </c>
      <c r="E29" s="1620"/>
      <c r="F29" s="269">
        <v>1071950</v>
      </c>
    </row>
    <row r="30" spans="1:10" ht="15.75" thickBot="1">
      <c r="A30" s="1604" t="s">
        <v>36</v>
      </c>
      <c r="B30" s="1605"/>
      <c r="C30" s="1605"/>
      <c r="D30" s="1606"/>
      <c r="E30" s="247"/>
      <c r="F30" s="20">
        <f>SUM(F27:F29)</f>
        <v>1222900</v>
      </c>
    </row>
    <row r="31" spans="1:10" ht="13.5" thickBot="1">
      <c r="A31" s="24">
        <v>21</v>
      </c>
      <c r="B31" s="25" t="s">
        <v>35</v>
      </c>
      <c r="C31" s="24">
        <v>853</v>
      </c>
      <c r="D31" s="23">
        <v>85311</v>
      </c>
      <c r="E31" s="22">
        <v>2570</v>
      </c>
      <c r="F31" s="21">
        <v>82223</v>
      </c>
    </row>
    <row r="32" spans="1:10" ht="15.75" thickBot="1">
      <c r="A32" s="1604" t="s">
        <v>26</v>
      </c>
      <c r="B32" s="1605"/>
      <c r="C32" s="1605"/>
      <c r="D32" s="1606"/>
      <c r="E32" s="252"/>
      <c r="F32" s="20">
        <f>SUM(F31:F31)</f>
        <v>82223</v>
      </c>
    </row>
    <row r="33" spans="1:8" ht="22.5" customHeight="1" thickBot="1">
      <c r="A33" s="1598" t="s">
        <v>25</v>
      </c>
      <c r="B33" s="1599"/>
      <c r="C33" s="1599"/>
      <c r="D33" s="1600"/>
      <c r="E33" s="19"/>
      <c r="F33" s="18">
        <f>SUM(F22,F30,F32)</f>
        <v>46605957</v>
      </c>
      <c r="H33" s="2"/>
    </row>
    <row r="34" spans="1:8" ht="10.5" customHeight="1">
      <c r="A34" s="259"/>
      <c r="B34" s="260"/>
      <c r="C34" s="260"/>
      <c r="D34" s="260"/>
      <c r="E34" s="260"/>
      <c r="F34" s="261"/>
    </row>
    <row r="35" spans="1:8" ht="15" thickBot="1">
      <c r="A35" s="1609" t="s">
        <v>23</v>
      </c>
      <c r="B35" s="1610"/>
      <c r="C35" s="1610"/>
      <c r="D35" s="1610"/>
      <c r="E35" s="1610"/>
      <c r="F35" s="1611"/>
    </row>
    <row r="36" spans="1:8" ht="30.75" thickBot="1">
      <c r="A36" s="247" t="s">
        <v>15</v>
      </c>
      <c r="B36" s="236" t="s">
        <v>34</v>
      </c>
      <c r="C36" s="247" t="s">
        <v>0</v>
      </c>
      <c r="D36" s="236" t="s">
        <v>1</v>
      </c>
      <c r="E36" s="247" t="s">
        <v>5</v>
      </c>
      <c r="F36" s="248" t="s">
        <v>33</v>
      </c>
    </row>
    <row r="37" spans="1:8">
      <c r="A37" s="16">
        <v>1</v>
      </c>
      <c r="B37" s="15" t="s">
        <v>32</v>
      </c>
      <c r="C37" s="1612">
        <v>853</v>
      </c>
      <c r="D37" s="1612">
        <v>85311</v>
      </c>
      <c r="E37" s="1607">
        <v>2580</v>
      </c>
      <c r="F37" s="14">
        <v>115112</v>
      </c>
      <c r="H37" s="2"/>
    </row>
    <row r="38" spans="1:8">
      <c r="A38" s="111">
        <v>2</v>
      </c>
      <c r="B38" s="13" t="s">
        <v>31</v>
      </c>
      <c r="C38" s="1613"/>
      <c r="D38" s="1613"/>
      <c r="E38" s="1608"/>
      <c r="F38" s="262">
        <v>106889</v>
      </c>
    </row>
    <row r="39" spans="1:8">
      <c r="A39" s="111">
        <v>3</v>
      </c>
      <c r="B39" s="13" t="s">
        <v>30</v>
      </c>
      <c r="C39" s="1613"/>
      <c r="D39" s="1613"/>
      <c r="E39" s="1608"/>
      <c r="F39" s="262">
        <v>71945</v>
      </c>
    </row>
    <row r="40" spans="1:8">
      <c r="A40" s="111">
        <v>4</v>
      </c>
      <c r="B40" s="13" t="s">
        <v>29</v>
      </c>
      <c r="C40" s="1613"/>
      <c r="D40" s="1613"/>
      <c r="E40" s="1608"/>
      <c r="F40" s="262">
        <v>121278</v>
      </c>
    </row>
    <row r="41" spans="1:8">
      <c r="A41" s="111">
        <v>5</v>
      </c>
      <c r="B41" s="13" t="s">
        <v>28</v>
      </c>
      <c r="C41" s="1613"/>
      <c r="D41" s="1613"/>
      <c r="E41" s="1608"/>
      <c r="F41" s="262">
        <v>65778</v>
      </c>
    </row>
    <row r="42" spans="1:8">
      <c r="A42" s="111">
        <v>6</v>
      </c>
      <c r="B42" s="13" t="s">
        <v>27</v>
      </c>
      <c r="C42" s="1613"/>
      <c r="D42" s="1613"/>
      <c r="E42" s="1608"/>
      <c r="F42" s="262">
        <v>76056</v>
      </c>
    </row>
    <row r="43" spans="1:8">
      <c r="A43" s="263">
        <v>7</v>
      </c>
      <c r="B43" s="100" t="s">
        <v>100</v>
      </c>
      <c r="C43" s="1613"/>
      <c r="D43" s="1613"/>
      <c r="E43" s="1608"/>
      <c r="F43" s="264">
        <v>63723</v>
      </c>
    </row>
    <row r="44" spans="1:8">
      <c r="A44" s="263">
        <v>8</v>
      </c>
      <c r="B44" s="110" t="s">
        <v>112</v>
      </c>
      <c r="C44" s="1613"/>
      <c r="D44" s="1613"/>
      <c r="E44" s="1608"/>
      <c r="F44" s="264">
        <v>51389</v>
      </c>
    </row>
    <row r="45" spans="1:8">
      <c r="A45" s="111">
        <v>9</v>
      </c>
      <c r="B45" s="110" t="s">
        <v>113</v>
      </c>
      <c r="C45" s="1613"/>
      <c r="D45" s="1613"/>
      <c r="E45" s="1608"/>
      <c r="F45" s="264">
        <v>61667</v>
      </c>
    </row>
    <row r="46" spans="1:8">
      <c r="A46" s="263">
        <v>10</v>
      </c>
      <c r="B46" s="100" t="s">
        <v>114</v>
      </c>
      <c r="C46" s="1613"/>
      <c r="D46" s="1613"/>
      <c r="E46" s="1608"/>
      <c r="F46" s="264">
        <v>43167</v>
      </c>
    </row>
    <row r="47" spans="1:8">
      <c r="A47" s="263">
        <v>11</v>
      </c>
      <c r="B47" s="100" t="s">
        <v>115</v>
      </c>
      <c r="C47" s="1613"/>
      <c r="D47" s="1613"/>
      <c r="E47" s="1608"/>
      <c r="F47" s="264">
        <v>45223</v>
      </c>
    </row>
    <row r="48" spans="1:8" ht="13.5" thickBot="1">
      <c r="A48" s="12">
        <v>12</v>
      </c>
      <c r="B48" s="100" t="s">
        <v>116</v>
      </c>
      <c r="C48" s="1614"/>
      <c r="D48" s="1614"/>
      <c r="E48" s="1615"/>
      <c r="F48" s="264">
        <v>43167</v>
      </c>
    </row>
    <row r="49" spans="1:9" ht="15.75" thickBot="1">
      <c r="A49" s="1601" t="s">
        <v>26</v>
      </c>
      <c r="B49" s="1602"/>
      <c r="C49" s="1602"/>
      <c r="D49" s="1603"/>
      <c r="E49" s="235"/>
      <c r="F49" s="11">
        <f>SUM(F37:F48)</f>
        <v>865394</v>
      </c>
      <c r="G49" s="2"/>
    </row>
    <row r="50" spans="1:9" ht="20.25" customHeight="1" thickBot="1">
      <c r="A50" s="1598" t="s">
        <v>25</v>
      </c>
      <c r="B50" s="1599"/>
      <c r="C50" s="1599"/>
      <c r="D50" s="1599"/>
      <c r="E50" s="1600"/>
      <c r="F50" s="10">
        <f>SUM(F49)</f>
        <v>865394</v>
      </c>
      <c r="G50" s="2"/>
      <c r="H50" s="2"/>
    </row>
    <row r="52" spans="1:9">
      <c r="F52" s="2"/>
      <c r="G52" s="2"/>
      <c r="H52" s="2"/>
      <c r="I52" s="2"/>
    </row>
    <row r="53" spans="1:9">
      <c r="F53" s="2"/>
      <c r="G53" s="2"/>
      <c r="H53" s="2"/>
      <c r="I53" s="2"/>
    </row>
    <row r="54" spans="1:9">
      <c r="F54" s="2"/>
      <c r="G54" s="2"/>
      <c r="H54" s="2"/>
      <c r="I54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F58" s="2"/>
      <c r="G58" s="2"/>
      <c r="H58" s="2"/>
      <c r="I58" s="2"/>
    </row>
    <row r="59" spans="1:9">
      <c r="B59" s="9"/>
      <c r="F59" s="2"/>
      <c r="G59" s="2"/>
      <c r="H59" s="2"/>
      <c r="I59" s="2"/>
    </row>
    <row r="60" spans="1:9">
      <c r="B60" s="9"/>
    </row>
    <row r="61" spans="1:9">
      <c r="B61" s="9"/>
    </row>
  </sheetData>
  <mergeCells count="24">
    <mergeCell ref="A1:B1"/>
    <mergeCell ref="C1:F1"/>
    <mergeCell ref="A2:F2"/>
    <mergeCell ref="A4:F4"/>
    <mergeCell ref="C6:C21"/>
    <mergeCell ref="D6:D12"/>
    <mergeCell ref="E6:E21"/>
    <mergeCell ref="A13:B13"/>
    <mergeCell ref="D14:D15"/>
    <mergeCell ref="A16:B16"/>
    <mergeCell ref="A50:E50"/>
    <mergeCell ref="A49:D49"/>
    <mergeCell ref="A22:D22"/>
    <mergeCell ref="D23:D26"/>
    <mergeCell ref="A32:D32"/>
    <mergeCell ref="A33:D33"/>
    <mergeCell ref="A35:F35"/>
    <mergeCell ref="C37:C48"/>
    <mergeCell ref="D37:D48"/>
    <mergeCell ref="E37:E48"/>
    <mergeCell ref="A27:B27"/>
    <mergeCell ref="A30:D30"/>
    <mergeCell ref="E23:E29"/>
    <mergeCell ref="C23:C2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N46"/>
  <sheetViews>
    <sheetView view="pageBreakPreview" zoomScale="90" zoomScaleNormal="100" zoomScaleSheetLayoutView="90" workbookViewId="0">
      <selection activeCell="J2" sqref="J2"/>
    </sheetView>
  </sheetViews>
  <sheetFormatPr defaultRowHeight="12.75"/>
  <cols>
    <col min="1" max="1" width="6.28515625" style="1" customWidth="1"/>
    <col min="2" max="2" width="33.28515625" style="1" customWidth="1"/>
    <col min="3" max="3" width="9.140625" style="1"/>
    <col min="4" max="4" width="10.28515625" style="1" customWidth="1"/>
    <col min="5" max="8" width="13.7109375" style="1" customWidth="1"/>
    <col min="9" max="9" width="60.140625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0" ht="55.5" customHeight="1">
      <c r="A1" s="1623"/>
      <c r="B1" s="1623"/>
      <c r="C1" s="1664"/>
      <c r="D1" s="122"/>
      <c r="E1" s="122"/>
      <c r="F1" s="122"/>
      <c r="G1" s="122"/>
      <c r="H1" s="122"/>
      <c r="I1" s="121" t="s">
        <v>1116</v>
      </c>
    </row>
    <row r="2" spans="1:10" ht="38.25" customHeight="1">
      <c r="A2" s="1665" t="s">
        <v>155</v>
      </c>
      <c r="B2" s="1665"/>
      <c r="C2" s="1665"/>
      <c r="D2" s="1665"/>
      <c r="E2" s="1665"/>
      <c r="F2" s="1665"/>
      <c r="G2" s="1665"/>
      <c r="H2" s="1665"/>
      <c r="I2" s="1665"/>
    </row>
    <row r="3" spans="1:10" ht="36.75" customHeight="1" thickBot="1">
      <c r="A3" s="33"/>
      <c r="B3" s="33"/>
      <c r="C3" s="33"/>
      <c r="D3" s="33"/>
      <c r="E3" s="33"/>
      <c r="F3" s="33"/>
      <c r="G3" s="33"/>
      <c r="H3" s="33"/>
      <c r="I3" s="123" t="s">
        <v>59</v>
      </c>
    </row>
    <row r="4" spans="1:10" ht="21" customHeight="1" thickBot="1">
      <c r="A4" s="1666" t="s">
        <v>15</v>
      </c>
      <c r="B4" s="1604" t="s">
        <v>34</v>
      </c>
      <c r="C4" s="1666" t="s">
        <v>0</v>
      </c>
      <c r="D4" s="1605" t="s">
        <v>1</v>
      </c>
      <c r="E4" s="1667" t="s">
        <v>22</v>
      </c>
      <c r="F4" s="1667" t="s">
        <v>5</v>
      </c>
      <c r="G4" s="1668" t="s">
        <v>58</v>
      </c>
      <c r="H4" s="1669"/>
      <c r="I4" s="1670" t="s">
        <v>156</v>
      </c>
    </row>
    <row r="5" spans="1:10" ht="15" customHeight="1" thickBot="1">
      <c r="A5" s="1666"/>
      <c r="B5" s="1604"/>
      <c r="C5" s="1666"/>
      <c r="D5" s="1605"/>
      <c r="E5" s="1666"/>
      <c r="F5" s="1667"/>
      <c r="G5" s="1668" t="s">
        <v>20</v>
      </c>
      <c r="H5" s="1669" t="s">
        <v>19</v>
      </c>
      <c r="I5" s="1670"/>
    </row>
    <row r="6" spans="1:10" ht="28.5" customHeight="1" thickBot="1">
      <c r="A6" s="1666"/>
      <c r="B6" s="1604"/>
      <c r="C6" s="1666"/>
      <c r="D6" s="1605"/>
      <c r="E6" s="1666"/>
      <c r="F6" s="1667"/>
      <c r="G6" s="1668"/>
      <c r="H6" s="1669"/>
      <c r="I6" s="1670"/>
    </row>
    <row r="7" spans="1:10" ht="33.75" customHeight="1">
      <c r="A7" s="1652">
        <v>1</v>
      </c>
      <c r="B7" s="1661" t="s">
        <v>157</v>
      </c>
      <c r="C7" s="1654" t="s">
        <v>122</v>
      </c>
      <c r="D7" s="1654" t="s">
        <v>124</v>
      </c>
      <c r="E7" s="1656">
        <f>SUM(G7:H10)</f>
        <v>6240000</v>
      </c>
      <c r="F7" s="196">
        <v>2310</v>
      </c>
      <c r="G7" s="197">
        <v>2040000</v>
      </c>
      <c r="H7" s="197"/>
      <c r="I7" s="125" t="s">
        <v>158</v>
      </c>
    </row>
    <row r="8" spans="1:10" ht="52.5" customHeight="1">
      <c r="A8" s="1653"/>
      <c r="B8" s="1662"/>
      <c r="C8" s="1655"/>
      <c r="D8" s="1655"/>
      <c r="E8" s="1657"/>
      <c r="F8" s="198">
        <v>2320</v>
      </c>
      <c r="G8" s="199">
        <v>50000</v>
      </c>
      <c r="H8" s="199"/>
      <c r="I8" s="126" t="s">
        <v>220</v>
      </c>
    </row>
    <row r="9" spans="1:10" ht="37.5" customHeight="1">
      <c r="A9" s="1653"/>
      <c r="B9" s="1662"/>
      <c r="C9" s="1655"/>
      <c r="D9" s="1655"/>
      <c r="E9" s="1657"/>
      <c r="F9" s="198">
        <v>6610</v>
      </c>
      <c r="G9" s="199"/>
      <c r="H9" s="199">
        <v>4100000</v>
      </c>
      <c r="I9" s="126" t="s">
        <v>159</v>
      </c>
    </row>
    <row r="10" spans="1:10" ht="51" customHeight="1">
      <c r="A10" s="1653"/>
      <c r="B10" s="1663"/>
      <c r="C10" s="1655"/>
      <c r="D10" s="1655"/>
      <c r="E10" s="1657"/>
      <c r="F10" s="198">
        <v>6620</v>
      </c>
      <c r="G10" s="199"/>
      <c r="H10" s="199">
        <v>50000</v>
      </c>
      <c r="I10" s="126" t="s">
        <v>220</v>
      </c>
    </row>
    <row r="11" spans="1:10" ht="53.25" customHeight="1">
      <c r="A11" s="243">
        <v>2</v>
      </c>
      <c r="B11" s="200" t="s">
        <v>160</v>
      </c>
      <c r="C11" s="1655" t="s">
        <v>132</v>
      </c>
      <c r="D11" s="244" t="s">
        <v>133</v>
      </c>
      <c r="E11" s="245">
        <f>SUM(G11:H11)</f>
        <v>200000</v>
      </c>
      <c r="F11" s="198">
        <v>6170</v>
      </c>
      <c r="G11" s="199"/>
      <c r="H11" s="199">
        <v>200000</v>
      </c>
      <c r="I11" s="126" t="s">
        <v>184</v>
      </c>
      <c r="J11" s="217"/>
    </row>
    <row r="12" spans="1:10" ht="44.25" customHeight="1">
      <c r="A12" s="243">
        <v>3</v>
      </c>
      <c r="B12" s="200" t="s">
        <v>161</v>
      </c>
      <c r="C12" s="1655"/>
      <c r="D12" s="244" t="s">
        <v>134</v>
      </c>
      <c r="E12" s="245">
        <f>SUM(G12:H12)</f>
        <v>150000</v>
      </c>
      <c r="F12" s="198">
        <v>6170</v>
      </c>
      <c r="G12" s="199"/>
      <c r="H12" s="199">
        <v>150000</v>
      </c>
      <c r="I12" s="126" t="s">
        <v>162</v>
      </c>
      <c r="J12" s="217"/>
    </row>
    <row r="13" spans="1:10" ht="46.5" customHeight="1">
      <c r="A13" s="243">
        <v>4</v>
      </c>
      <c r="B13" s="200" t="s">
        <v>163</v>
      </c>
      <c r="C13" s="1655"/>
      <c r="D13" s="244" t="s">
        <v>135</v>
      </c>
      <c r="E13" s="245">
        <f>SUM(G13:H13)</f>
        <v>200000</v>
      </c>
      <c r="F13" s="198">
        <v>6170</v>
      </c>
      <c r="G13" s="199"/>
      <c r="H13" s="199">
        <v>200000</v>
      </c>
      <c r="I13" s="126" t="s">
        <v>164</v>
      </c>
      <c r="J13" s="217"/>
    </row>
    <row r="14" spans="1:10" ht="109.5" customHeight="1">
      <c r="A14" s="243">
        <v>5</v>
      </c>
      <c r="B14" s="201" t="s">
        <v>225</v>
      </c>
      <c r="C14" s="246">
        <v>851</v>
      </c>
      <c r="D14" s="270">
        <v>85111</v>
      </c>
      <c r="E14" s="271">
        <f>SUM(G14:H19)</f>
        <v>5559410</v>
      </c>
      <c r="F14" s="198">
        <v>6220</v>
      </c>
      <c r="G14" s="199"/>
      <c r="H14" s="202">
        <f>79552+397760+497200</f>
        <v>974512</v>
      </c>
      <c r="I14" s="126" t="s">
        <v>189</v>
      </c>
      <c r="J14" s="180"/>
    </row>
    <row r="15" spans="1:10" ht="138.75" customHeight="1">
      <c r="A15" s="243">
        <v>6</v>
      </c>
      <c r="B15" s="203" t="s">
        <v>117</v>
      </c>
      <c r="C15" s="1639">
        <v>851</v>
      </c>
      <c r="D15" s="1639">
        <v>85111</v>
      </c>
      <c r="E15" s="1642" t="s">
        <v>230</v>
      </c>
      <c r="F15" s="198">
        <v>6220</v>
      </c>
      <c r="G15" s="199"/>
      <c r="H15" s="202">
        <f>638934+1686230</f>
        <v>2325164</v>
      </c>
      <c r="I15" s="126" t="s">
        <v>226</v>
      </c>
      <c r="J15" s="180"/>
    </row>
    <row r="16" spans="1:10" ht="63.75">
      <c r="A16" s="243">
        <v>7</v>
      </c>
      <c r="B16" s="201" t="s">
        <v>190</v>
      </c>
      <c r="C16" s="1640"/>
      <c r="D16" s="1640"/>
      <c r="E16" s="1643"/>
      <c r="F16" s="198">
        <v>6220</v>
      </c>
      <c r="G16" s="199"/>
      <c r="H16" s="202">
        <f>254904+274512</f>
        <v>529416</v>
      </c>
      <c r="I16" s="126" t="s">
        <v>229</v>
      </c>
      <c r="J16" s="180"/>
    </row>
    <row r="17" spans="1:14" ht="45" customHeight="1">
      <c r="A17" s="243">
        <v>8</v>
      </c>
      <c r="B17" s="219" t="s">
        <v>191</v>
      </c>
      <c r="C17" s="1640"/>
      <c r="D17" s="1640"/>
      <c r="E17" s="1643"/>
      <c r="F17" s="198">
        <v>6220</v>
      </c>
      <c r="G17" s="199"/>
      <c r="H17" s="199">
        <v>623995</v>
      </c>
      <c r="I17" s="126" t="s">
        <v>224</v>
      </c>
      <c r="J17" s="180"/>
    </row>
    <row r="18" spans="1:14" ht="66" customHeight="1">
      <c r="A18" s="243">
        <v>9</v>
      </c>
      <c r="B18" s="131" t="s">
        <v>192</v>
      </c>
      <c r="C18" s="1640"/>
      <c r="D18" s="1640"/>
      <c r="E18" s="1643"/>
      <c r="F18" s="198">
        <v>6220</v>
      </c>
      <c r="G18" s="199"/>
      <c r="H18" s="199">
        <v>785600</v>
      </c>
      <c r="I18" s="126" t="s">
        <v>193</v>
      </c>
      <c r="J18" s="180"/>
    </row>
    <row r="19" spans="1:14" ht="42.75" customHeight="1">
      <c r="A19" s="243">
        <v>10</v>
      </c>
      <c r="B19" s="131" t="s">
        <v>194</v>
      </c>
      <c r="C19" s="1640"/>
      <c r="D19" s="1641"/>
      <c r="E19" s="1644"/>
      <c r="F19" s="198">
        <v>6220</v>
      </c>
      <c r="G19" s="199"/>
      <c r="H19" s="199">
        <v>320723</v>
      </c>
      <c r="I19" s="126" t="s">
        <v>227</v>
      </c>
      <c r="J19" s="180"/>
    </row>
    <row r="20" spans="1:14" ht="50.25" customHeight="1">
      <c r="A20" s="243">
        <v>11</v>
      </c>
      <c r="B20" s="1035" t="s">
        <v>195</v>
      </c>
      <c r="C20" s="1640"/>
      <c r="D20" s="1647">
        <v>85120</v>
      </c>
      <c r="E20" s="1648">
        <f>SUM(G20:H21)</f>
        <v>376796</v>
      </c>
      <c r="F20" s="198">
        <v>6220</v>
      </c>
      <c r="G20" s="199"/>
      <c r="H20" s="199">
        <v>316820</v>
      </c>
      <c r="I20" s="126" t="s">
        <v>197</v>
      </c>
      <c r="J20" s="180"/>
    </row>
    <row r="21" spans="1:14" ht="54.75" customHeight="1">
      <c r="A21" s="243">
        <v>12</v>
      </c>
      <c r="B21" s="1035" t="s">
        <v>196</v>
      </c>
      <c r="C21" s="1640"/>
      <c r="D21" s="1647"/>
      <c r="E21" s="1648"/>
      <c r="F21" s="198">
        <v>6220</v>
      </c>
      <c r="G21" s="199"/>
      <c r="H21" s="199">
        <v>59976</v>
      </c>
      <c r="I21" s="126" t="s">
        <v>198</v>
      </c>
      <c r="J21" s="180"/>
    </row>
    <row r="22" spans="1:14" ht="56.25" customHeight="1">
      <c r="A22" s="128">
        <v>13</v>
      </c>
      <c r="B22" s="1036" t="s">
        <v>153</v>
      </c>
      <c r="C22" s="1640"/>
      <c r="D22" s="246">
        <v>85121</v>
      </c>
      <c r="E22" s="249">
        <f>SUM(G22:H22)</f>
        <v>162840</v>
      </c>
      <c r="F22" s="129">
        <v>6220</v>
      </c>
      <c r="G22" s="218"/>
      <c r="H22" s="218">
        <v>162840</v>
      </c>
      <c r="I22" s="126" t="s">
        <v>199</v>
      </c>
      <c r="J22" s="2"/>
      <c r="K22" s="1651"/>
      <c r="L22" s="1651"/>
      <c r="M22" s="1651"/>
      <c r="N22" s="1651"/>
    </row>
    <row r="23" spans="1:14" ht="49.5" customHeight="1">
      <c r="A23" s="128">
        <v>14</v>
      </c>
      <c r="B23" s="1036" t="s">
        <v>37</v>
      </c>
      <c r="C23" s="1641"/>
      <c r="D23" s="246">
        <v>85148</v>
      </c>
      <c r="E23" s="249">
        <f>SUM(G23:H23)</f>
        <v>17200</v>
      </c>
      <c r="F23" s="129">
        <v>6220</v>
      </c>
      <c r="G23" s="218"/>
      <c r="H23" s="130">
        <v>17200</v>
      </c>
      <c r="I23" s="126" t="s">
        <v>200</v>
      </c>
      <c r="K23" s="1651"/>
      <c r="L23" s="1651"/>
      <c r="M23" s="1651"/>
      <c r="N23" s="1651"/>
    </row>
    <row r="24" spans="1:14" ht="63" customHeight="1">
      <c r="A24" s="128">
        <v>15</v>
      </c>
      <c r="B24" s="131" t="s">
        <v>228</v>
      </c>
      <c r="C24" s="1639">
        <v>921</v>
      </c>
      <c r="D24" s="246">
        <v>92106</v>
      </c>
      <c r="E24" s="249">
        <f t="shared" ref="E24:E25" si="0">SUM(G24:H24)</f>
        <v>200000</v>
      </c>
      <c r="F24" s="129">
        <v>2800</v>
      </c>
      <c r="G24" s="130">
        <v>200000</v>
      </c>
      <c r="H24" s="130"/>
      <c r="I24" s="132" t="s">
        <v>207</v>
      </c>
      <c r="K24" s="1651"/>
      <c r="L24" s="1651"/>
      <c r="M24" s="1651"/>
      <c r="N24" s="1651"/>
    </row>
    <row r="25" spans="1:14" ht="63.75">
      <c r="A25" s="128">
        <v>16</v>
      </c>
      <c r="B25" s="131" t="s">
        <v>165</v>
      </c>
      <c r="C25" s="1640"/>
      <c r="D25" s="246">
        <v>92108</v>
      </c>
      <c r="E25" s="249">
        <f t="shared" si="0"/>
        <v>500000</v>
      </c>
      <c r="F25" s="129">
        <v>2800</v>
      </c>
      <c r="G25" s="130">
        <v>500000</v>
      </c>
      <c r="H25" s="130"/>
      <c r="I25" s="132" t="s">
        <v>223</v>
      </c>
      <c r="K25" s="1651"/>
      <c r="L25" s="1651"/>
      <c r="M25" s="1651"/>
      <c r="N25" s="1651"/>
    </row>
    <row r="26" spans="1:14" ht="135" customHeight="1">
      <c r="A26" s="128">
        <v>17</v>
      </c>
      <c r="B26" s="131" t="s">
        <v>166</v>
      </c>
      <c r="C26" s="1640"/>
      <c r="D26" s="1647">
        <v>92109</v>
      </c>
      <c r="E26" s="1648">
        <f>SUM(G26:H28)</f>
        <v>1105000</v>
      </c>
      <c r="F26" s="129">
        <v>2800</v>
      </c>
      <c r="G26" s="130">
        <v>905000</v>
      </c>
      <c r="H26" s="130"/>
      <c r="I26" s="132" t="s">
        <v>222</v>
      </c>
      <c r="J26" s="2"/>
      <c r="K26" s="1651"/>
      <c r="L26" s="1651"/>
      <c r="M26" s="1651"/>
      <c r="N26" s="1651"/>
    </row>
    <row r="27" spans="1:14" ht="38.25">
      <c r="A27" s="1635">
        <v>18</v>
      </c>
      <c r="B27" s="1646" t="s">
        <v>47</v>
      </c>
      <c r="C27" s="1640"/>
      <c r="D27" s="1647"/>
      <c r="E27" s="1648"/>
      <c r="F27" s="204">
        <v>6220</v>
      </c>
      <c r="G27" s="205"/>
      <c r="H27" s="205">
        <v>80000</v>
      </c>
      <c r="I27" s="206" t="s">
        <v>186</v>
      </c>
      <c r="K27" s="1651"/>
      <c r="L27" s="1651"/>
      <c r="M27" s="1651"/>
      <c r="N27" s="1651"/>
    </row>
    <row r="28" spans="1:14" ht="96" customHeight="1">
      <c r="A28" s="1636"/>
      <c r="B28" s="1646"/>
      <c r="C28" s="1640"/>
      <c r="D28" s="1647"/>
      <c r="E28" s="1648"/>
      <c r="F28" s="204">
        <v>2800</v>
      </c>
      <c r="G28" s="205">
        <v>120000</v>
      </c>
      <c r="H28" s="205"/>
      <c r="I28" s="206" t="s">
        <v>187</v>
      </c>
      <c r="K28" s="1651"/>
      <c r="L28" s="1651"/>
      <c r="M28" s="1651"/>
      <c r="N28" s="1651"/>
    </row>
    <row r="29" spans="1:14" ht="25.5">
      <c r="A29" s="1635">
        <v>19</v>
      </c>
      <c r="B29" s="1646" t="s">
        <v>42</v>
      </c>
      <c r="C29" s="1640"/>
      <c r="D29" s="1647">
        <v>92114</v>
      </c>
      <c r="E29" s="1648">
        <f>SUM(G29:H30)</f>
        <v>90000</v>
      </c>
      <c r="F29" s="204">
        <v>6220</v>
      </c>
      <c r="G29" s="205"/>
      <c r="H29" s="205">
        <v>80000</v>
      </c>
      <c r="I29" s="206" t="s">
        <v>206</v>
      </c>
      <c r="K29" s="1651"/>
      <c r="L29" s="1651"/>
      <c r="M29" s="1651"/>
      <c r="N29" s="1651"/>
    </row>
    <row r="30" spans="1:14" ht="38.25">
      <c r="A30" s="1636"/>
      <c r="B30" s="1646"/>
      <c r="C30" s="1640"/>
      <c r="D30" s="1647"/>
      <c r="E30" s="1648"/>
      <c r="F30" s="204">
        <v>2800</v>
      </c>
      <c r="G30" s="205">
        <v>10000</v>
      </c>
      <c r="H30" s="205"/>
      <c r="I30" s="206" t="s">
        <v>221</v>
      </c>
      <c r="K30" s="1651"/>
      <c r="L30" s="1651"/>
      <c r="M30" s="1651"/>
      <c r="N30" s="1651"/>
    </row>
    <row r="31" spans="1:14" ht="51">
      <c r="A31" s="207">
        <v>20</v>
      </c>
      <c r="B31" s="512" t="s">
        <v>167</v>
      </c>
      <c r="C31" s="1641"/>
      <c r="D31" s="246">
        <v>92116</v>
      </c>
      <c r="E31" s="250">
        <f>SUM(G31:H31)</f>
        <v>103000</v>
      </c>
      <c r="F31" s="204">
        <v>2800</v>
      </c>
      <c r="G31" s="205">
        <v>103000</v>
      </c>
      <c r="H31" s="205"/>
      <c r="I31" s="208" t="s">
        <v>205</v>
      </c>
      <c r="K31" s="1651"/>
      <c r="L31" s="1651"/>
      <c r="M31" s="1651"/>
      <c r="N31" s="1651"/>
    </row>
    <row r="32" spans="1:14" ht="98.25" customHeight="1">
      <c r="A32" s="1635">
        <v>21</v>
      </c>
      <c r="B32" s="1637" t="s">
        <v>54</v>
      </c>
      <c r="C32" s="1639">
        <v>921</v>
      </c>
      <c r="D32" s="1647">
        <v>92118</v>
      </c>
      <c r="E32" s="1649">
        <f>SUM(G32:H36)</f>
        <v>527500</v>
      </c>
      <c r="F32" s="204">
        <v>2800</v>
      </c>
      <c r="G32" s="205">
        <v>367500</v>
      </c>
      <c r="H32" s="205"/>
      <c r="I32" s="208" t="s">
        <v>204</v>
      </c>
      <c r="K32" s="1651"/>
      <c r="L32" s="1651"/>
      <c r="M32" s="1651"/>
      <c r="N32" s="1651"/>
    </row>
    <row r="33" spans="1:14" ht="62.25" customHeight="1">
      <c r="A33" s="1636"/>
      <c r="B33" s="1638"/>
      <c r="C33" s="1640"/>
      <c r="D33" s="1647"/>
      <c r="E33" s="1649"/>
      <c r="F33" s="204">
        <v>6220</v>
      </c>
      <c r="G33" s="205"/>
      <c r="H33" s="205">
        <v>30000</v>
      </c>
      <c r="I33" s="208" t="s">
        <v>218</v>
      </c>
      <c r="K33" s="1651"/>
      <c r="L33" s="1651"/>
      <c r="M33" s="1651"/>
      <c r="N33" s="1651"/>
    </row>
    <row r="34" spans="1:14" ht="34.5" customHeight="1">
      <c r="A34" s="207">
        <v>22</v>
      </c>
      <c r="B34" s="219" t="s">
        <v>53</v>
      </c>
      <c r="C34" s="1640"/>
      <c r="D34" s="1647"/>
      <c r="E34" s="1649"/>
      <c r="F34" s="204">
        <v>6220</v>
      </c>
      <c r="G34" s="205"/>
      <c r="H34" s="205">
        <v>40000</v>
      </c>
      <c r="I34" s="208" t="s">
        <v>203</v>
      </c>
      <c r="K34" s="1651"/>
      <c r="L34" s="1651"/>
      <c r="M34" s="1651"/>
      <c r="N34" s="1651"/>
    </row>
    <row r="35" spans="1:14" ht="27.75" customHeight="1">
      <c r="A35" s="207">
        <v>23</v>
      </c>
      <c r="B35" s="512" t="s">
        <v>168</v>
      </c>
      <c r="C35" s="1640"/>
      <c r="D35" s="1647"/>
      <c r="E35" s="1649"/>
      <c r="F35" s="204">
        <v>2800</v>
      </c>
      <c r="G35" s="205">
        <v>40000</v>
      </c>
      <c r="H35" s="205"/>
      <c r="I35" s="208" t="s">
        <v>219</v>
      </c>
      <c r="K35" s="1651"/>
      <c r="L35" s="1651"/>
      <c r="M35" s="1651"/>
      <c r="N35" s="1651"/>
    </row>
    <row r="36" spans="1:14" ht="33.75" customHeight="1" thickBot="1">
      <c r="A36" s="272">
        <v>24</v>
      </c>
      <c r="B36" s="1037" t="s">
        <v>50</v>
      </c>
      <c r="C36" s="1645"/>
      <c r="D36" s="1660"/>
      <c r="E36" s="1650"/>
      <c r="F36" s="209">
        <v>2800</v>
      </c>
      <c r="G36" s="210">
        <v>50000</v>
      </c>
      <c r="H36" s="210"/>
      <c r="I36" s="211" t="s">
        <v>188</v>
      </c>
      <c r="K36" s="1651"/>
      <c r="L36" s="1651"/>
      <c r="M36" s="1651"/>
      <c r="N36" s="1651"/>
    </row>
    <row r="37" spans="1:14" ht="31.5" customHeight="1" thickBot="1">
      <c r="A37" s="1658" t="s">
        <v>22</v>
      </c>
      <c r="B37" s="1659"/>
      <c r="C37" s="1659"/>
      <c r="D37" s="1659"/>
      <c r="E37" s="212">
        <f>SUM(E7:E36)</f>
        <v>15431746</v>
      </c>
      <c r="F37" s="213"/>
      <c r="G37" s="214">
        <f>SUM(G7:G36)</f>
        <v>4385500</v>
      </c>
      <c r="H37" s="215">
        <f>SUM(H7:H36)</f>
        <v>11046246</v>
      </c>
      <c r="I37" s="216"/>
      <c r="K37" s="1651"/>
      <c r="L37" s="1651"/>
      <c r="M37" s="1651"/>
      <c r="N37" s="1651"/>
    </row>
    <row r="38" spans="1:14">
      <c r="G38" s="2"/>
      <c r="H38" s="2"/>
      <c r="K38" s="1651"/>
      <c r="L38" s="1651"/>
      <c r="M38" s="1651"/>
      <c r="N38" s="1651"/>
    </row>
    <row r="39" spans="1:14">
      <c r="E39" s="2"/>
      <c r="G39" s="2"/>
      <c r="H39" s="2"/>
      <c r="K39" s="1651"/>
      <c r="L39" s="1651"/>
      <c r="M39" s="1651"/>
      <c r="N39" s="1651"/>
    </row>
    <row r="40" spans="1:14">
      <c r="G40" s="2">
        <f>SUM(G37:H37)</f>
        <v>15431746</v>
      </c>
      <c r="K40" s="1651"/>
      <c r="L40" s="1651"/>
      <c r="M40" s="1651"/>
      <c r="N40" s="1651"/>
    </row>
    <row r="41" spans="1:14">
      <c r="G41" s="2"/>
      <c r="H41" s="2">
        <f>SUM(G24:G36)</f>
        <v>2295500</v>
      </c>
      <c r="K41" s="1651"/>
      <c r="L41" s="1651"/>
      <c r="M41" s="1651"/>
      <c r="N41" s="1651"/>
    </row>
    <row r="42" spans="1:14">
      <c r="K42" s="1651"/>
      <c r="L42" s="1651"/>
      <c r="M42" s="1651"/>
      <c r="N42" s="1651"/>
    </row>
    <row r="43" spans="1:14">
      <c r="G43" s="2">
        <f>G36+G35+G32+G31+G30+G28+G26+G25+G24</f>
        <v>2295500</v>
      </c>
      <c r="H43" s="2"/>
      <c r="K43" s="1651"/>
      <c r="L43" s="1651"/>
      <c r="M43" s="1651"/>
      <c r="N43" s="1651"/>
    </row>
    <row r="44" spans="1:14">
      <c r="G44" s="2"/>
      <c r="H44" s="2"/>
      <c r="K44" s="1651"/>
      <c r="L44" s="1651"/>
      <c r="M44" s="1651"/>
      <c r="N44" s="1651"/>
    </row>
    <row r="45" spans="1:14" ht="82.5" customHeight="1">
      <c r="G45" s="2"/>
      <c r="H45" s="2"/>
      <c r="K45" s="1651"/>
      <c r="L45" s="1651"/>
      <c r="M45" s="1651"/>
      <c r="N45" s="1651"/>
    </row>
    <row r="46" spans="1:14">
      <c r="H46" s="2"/>
    </row>
  </sheetData>
  <mergeCells count="39"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K22:N45"/>
    <mergeCell ref="A7:A10"/>
    <mergeCell ref="C7:C10"/>
    <mergeCell ref="D7:D10"/>
    <mergeCell ref="E7:E10"/>
    <mergeCell ref="A37:D37"/>
    <mergeCell ref="C11:C13"/>
    <mergeCell ref="D32:D36"/>
    <mergeCell ref="B7:B10"/>
    <mergeCell ref="A27:A28"/>
    <mergeCell ref="A29:A30"/>
    <mergeCell ref="E26:E28"/>
    <mergeCell ref="D26:D28"/>
    <mergeCell ref="B27:B28"/>
    <mergeCell ref="E29:E30"/>
    <mergeCell ref="D29:D30"/>
    <mergeCell ref="A32:A33"/>
    <mergeCell ref="B32:B33"/>
    <mergeCell ref="C15:C23"/>
    <mergeCell ref="D15:D19"/>
    <mergeCell ref="E15:E19"/>
    <mergeCell ref="C24:C31"/>
    <mergeCell ref="C32:C36"/>
    <mergeCell ref="B29:B30"/>
    <mergeCell ref="D20:D21"/>
    <mergeCell ref="E20:E21"/>
    <mergeCell ref="E32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2" manualBreakCount="2">
    <brk id="23" max="8" man="1"/>
    <brk id="31" max="8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146"/>
  <sheetViews>
    <sheetView view="pageBreakPreview" zoomScaleSheetLayoutView="100" workbookViewId="0">
      <selection activeCell="I2" sqref="I2"/>
    </sheetView>
  </sheetViews>
  <sheetFormatPr defaultRowHeight="12.75"/>
  <cols>
    <col min="1" max="1" width="6.42578125" style="1" customWidth="1"/>
    <col min="2" max="2" width="7.7109375" style="1" customWidth="1"/>
    <col min="3" max="4" width="12.7109375" style="1" customWidth="1"/>
    <col min="5" max="6" width="17.7109375" style="1" customWidth="1"/>
    <col min="7" max="7" width="82.28515625" style="1" customWidth="1"/>
    <col min="8" max="258" width="9.140625" style="1"/>
    <col min="259" max="259" width="7.140625" style="1" customWidth="1"/>
    <col min="260" max="260" width="10.42578125" style="1" customWidth="1"/>
    <col min="261" max="261" width="12.85546875" style="1" customWidth="1"/>
    <col min="262" max="262" width="13.140625" style="1" customWidth="1"/>
    <col min="263" max="263" width="61" style="1" customWidth="1"/>
    <col min="264" max="514" width="9.140625" style="1"/>
    <col min="515" max="515" width="7.140625" style="1" customWidth="1"/>
    <col min="516" max="516" width="10.42578125" style="1" customWidth="1"/>
    <col min="517" max="517" width="12.85546875" style="1" customWidth="1"/>
    <col min="518" max="518" width="13.140625" style="1" customWidth="1"/>
    <col min="519" max="519" width="61" style="1" customWidth="1"/>
    <col min="520" max="770" width="9.140625" style="1"/>
    <col min="771" max="771" width="7.140625" style="1" customWidth="1"/>
    <col min="772" max="772" width="10.42578125" style="1" customWidth="1"/>
    <col min="773" max="773" width="12.85546875" style="1" customWidth="1"/>
    <col min="774" max="774" width="13.140625" style="1" customWidth="1"/>
    <col min="775" max="775" width="61" style="1" customWidth="1"/>
    <col min="776" max="1026" width="9.140625" style="1"/>
    <col min="1027" max="1027" width="7.140625" style="1" customWidth="1"/>
    <col min="1028" max="1028" width="10.42578125" style="1" customWidth="1"/>
    <col min="1029" max="1029" width="12.85546875" style="1" customWidth="1"/>
    <col min="1030" max="1030" width="13.140625" style="1" customWidth="1"/>
    <col min="1031" max="1031" width="61" style="1" customWidth="1"/>
    <col min="1032" max="1282" width="9.140625" style="1"/>
    <col min="1283" max="1283" width="7.140625" style="1" customWidth="1"/>
    <col min="1284" max="1284" width="10.42578125" style="1" customWidth="1"/>
    <col min="1285" max="1285" width="12.85546875" style="1" customWidth="1"/>
    <col min="1286" max="1286" width="13.140625" style="1" customWidth="1"/>
    <col min="1287" max="1287" width="61" style="1" customWidth="1"/>
    <col min="1288" max="1538" width="9.140625" style="1"/>
    <col min="1539" max="1539" width="7.140625" style="1" customWidth="1"/>
    <col min="1540" max="1540" width="10.42578125" style="1" customWidth="1"/>
    <col min="1541" max="1541" width="12.85546875" style="1" customWidth="1"/>
    <col min="1542" max="1542" width="13.140625" style="1" customWidth="1"/>
    <col min="1543" max="1543" width="61" style="1" customWidth="1"/>
    <col min="1544" max="1794" width="9.140625" style="1"/>
    <col min="1795" max="1795" width="7.140625" style="1" customWidth="1"/>
    <col min="1796" max="1796" width="10.42578125" style="1" customWidth="1"/>
    <col min="1797" max="1797" width="12.85546875" style="1" customWidth="1"/>
    <col min="1798" max="1798" width="13.140625" style="1" customWidth="1"/>
    <col min="1799" max="1799" width="61" style="1" customWidth="1"/>
    <col min="1800" max="2050" width="9.140625" style="1"/>
    <col min="2051" max="2051" width="7.140625" style="1" customWidth="1"/>
    <col min="2052" max="2052" width="10.42578125" style="1" customWidth="1"/>
    <col min="2053" max="2053" width="12.85546875" style="1" customWidth="1"/>
    <col min="2054" max="2054" width="13.140625" style="1" customWidth="1"/>
    <col min="2055" max="2055" width="61" style="1" customWidth="1"/>
    <col min="2056" max="2306" width="9.140625" style="1"/>
    <col min="2307" max="2307" width="7.140625" style="1" customWidth="1"/>
    <col min="2308" max="2308" width="10.42578125" style="1" customWidth="1"/>
    <col min="2309" max="2309" width="12.85546875" style="1" customWidth="1"/>
    <col min="2310" max="2310" width="13.140625" style="1" customWidth="1"/>
    <col min="2311" max="2311" width="61" style="1" customWidth="1"/>
    <col min="2312" max="2562" width="9.140625" style="1"/>
    <col min="2563" max="2563" width="7.140625" style="1" customWidth="1"/>
    <col min="2564" max="2564" width="10.42578125" style="1" customWidth="1"/>
    <col min="2565" max="2565" width="12.85546875" style="1" customWidth="1"/>
    <col min="2566" max="2566" width="13.140625" style="1" customWidth="1"/>
    <col min="2567" max="2567" width="61" style="1" customWidth="1"/>
    <col min="2568" max="2818" width="9.140625" style="1"/>
    <col min="2819" max="2819" width="7.140625" style="1" customWidth="1"/>
    <col min="2820" max="2820" width="10.42578125" style="1" customWidth="1"/>
    <col min="2821" max="2821" width="12.85546875" style="1" customWidth="1"/>
    <col min="2822" max="2822" width="13.140625" style="1" customWidth="1"/>
    <col min="2823" max="2823" width="61" style="1" customWidth="1"/>
    <col min="2824" max="3074" width="9.140625" style="1"/>
    <col min="3075" max="3075" width="7.140625" style="1" customWidth="1"/>
    <col min="3076" max="3076" width="10.42578125" style="1" customWidth="1"/>
    <col min="3077" max="3077" width="12.85546875" style="1" customWidth="1"/>
    <col min="3078" max="3078" width="13.140625" style="1" customWidth="1"/>
    <col min="3079" max="3079" width="61" style="1" customWidth="1"/>
    <col min="3080" max="3330" width="9.140625" style="1"/>
    <col min="3331" max="3331" width="7.140625" style="1" customWidth="1"/>
    <col min="3332" max="3332" width="10.42578125" style="1" customWidth="1"/>
    <col min="3333" max="3333" width="12.85546875" style="1" customWidth="1"/>
    <col min="3334" max="3334" width="13.140625" style="1" customWidth="1"/>
    <col min="3335" max="3335" width="61" style="1" customWidth="1"/>
    <col min="3336" max="3586" width="9.140625" style="1"/>
    <col min="3587" max="3587" width="7.140625" style="1" customWidth="1"/>
    <col min="3588" max="3588" width="10.42578125" style="1" customWidth="1"/>
    <col min="3589" max="3589" width="12.85546875" style="1" customWidth="1"/>
    <col min="3590" max="3590" width="13.140625" style="1" customWidth="1"/>
    <col min="3591" max="3591" width="61" style="1" customWidth="1"/>
    <col min="3592" max="3842" width="9.140625" style="1"/>
    <col min="3843" max="3843" width="7.140625" style="1" customWidth="1"/>
    <col min="3844" max="3844" width="10.42578125" style="1" customWidth="1"/>
    <col min="3845" max="3845" width="12.85546875" style="1" customWidth="1"/>
    <col min="3846" max="3846" width="13.140625" style="1" customWidth="1"/>
    <col min="3847" max="3847" width="61" style="1" customWidth="1"/>
    <col min="3848" max="4098" width="9.140625" style="1"/>
    <col min="4099" max="4099" width="7.140625" style="1" customWidth="1"/>
    <col min="4100" max="4100" width="10.42578125" style="1" customWidth="1"/>
    <col min="4101" max="4101" width="12.85546875" style="1" customWidth="1"/>
    <col min="4102" max="4102" width="13.140625" style="1" customWidth="1"/>
    <col min="4103" max="4103" width="61" style="1" customWidth="1"/>
    <col min="4104" max="4354" width="9.140625" style="1"/>
    <col min="4355" max="4355" width="7.140625" style="1" customWidth="1"/>
    <col min="4356" max="4356" width="10.42578125" style="1" customWidth="1"/>
    <col min="4357" max="4357" width="12.85546875" style="1" customWidth="1"/>
    <col min="4358" max="4358" width="13.140625" style="1" customWidth="1"/>
    <col min="4359" max="4359" width="61" style="1" customWidth="1"/>
    <col min="4360" max="4610" width="9.140625" style="1"/>
    <col min="4611" max="4611" width="7.140625" style="1" customWidth="1"/>
    <col min="4612" max="4612" width="10.42578125" style="1" customWidth="1"/>
    <col min="4613" max="4613" width="12.85546875" style="1" customWidth="1"/>
    <col min="4614" max="4614" width="13.140625" style="1" customWidth="1"/>
    <col min="4615" max="4615" width="61" style="1" customWidth="1"/>
    <col min="4616" max="4866" width="9.140625" style="1"/>
    <col min="4867" max="4867" width="7.140625" style="1" customWidth="1"/>
    <col min="4868" max="4868" width="10.42578125" style="1" customWidth="1"/>
    <col min="4869" max="4869" width="12.85546875" style="1" customWidth="1"/>
    <col min="4870" max="4870" width="13.140625" style="1" customWidth="1"/>
    <col min="4871" max="4871" width="61" style="1" customWidth="1"/>
    <col min="4872" max="5122" width="9.140625" style="1"/>
    <col min="5123" max="5123" width="7.140625" style="1" customWidth="1"/>
    <col min="5124" max="5124" width="10.42578125" style="1" customWidth="1"/>
    <col min="5125" max="5125" width="12.85546875" style="1" customWidth="1"/>
    <col min="5126" max="5126" width="13.140625" style="1" customWidth="1"/>
    <col min="5127" max="5127" width="61" style="1" customWidth="1"/>
    <col min="5128" max="5378" width="9.140625" style="1"/>
    <col min="5379" max="5379" width="7.140625" style="1" customWidth="1"/>
    <col min="5380" max="5380" width="10.42578125" style="1" customWidth="1"/>
    <col min="5381" max="5381" width="12.85546875" style="1" customWidth="1"/>
    <col min="5382" max="5382" width="13.140625" style="1" customWidth="1"/>
    <col min="5383" max="5383" width="61" style="1" customWidth="1"/>
    <col min="5384" max="5634" width="9.140625" style="1"/>
    <col min="5635" max="5635" width="7.140625" style="1" customWidth="1"/>
    <col min="5636" max="5636" width="10.42578125" style="1" customWidth="1"/>
    <col min="5637" max="5637" width="12.85546875" style="1" customWidth="1"/>
    <col min="5638" max="5638" width="13.140625" style="1" customWidth="1"/>
    <col min="5639" max="5639" width="61" style="1" customWidth="1"/>
    <col min="5640" max="5890" width="9.140625" style="1"/>
    <col min="5891" max="5891" width="7.140625" style="1" customWidth="1"/>
    <col min="5892" max="5892" width="10.42578125" style="1" customWidth="1"/>
    <col min="5893" max="5893" width="12.85546875" style="1" customWidth="1"/>
    <col min="5894" max="5894" width="13.140625" style="1" customWidth="1"/>
    <col min="5895" max="5895" width="61" style="1" customWidth="1"/>
    <col min="5896" max="6146" width="9.140625" style="1"/>
    <col min="6147" max="6147" width="7.140625" style="1" customWidth="1"/>
    <col min="6148" max="6148" width="10.42578125" style="1" customWidth="1"/>
    <col min="6149" max="6149" width="12.85546875" style="1" customWidth="1"/>
    <col min="6150" max="6150" width="13.140625" style="1" customWidth="1"/>
    <col min="6151" max="6151" width="61" style="1" customWidth="1"/>
    <col min="6152" max="6402" width="9.140625" style="1"/>
    <col min="6403" max="6403" width="7.140625" style="1" customWidth="1"/>
    <col min="6404" max="6404" width="10.42578125" style="1" customWidth="1"/>
    <col min="6405" max="6405" width="12.85546875" style="1" customWidth="1"/>
    <col min="6406" max="6406" width="13.140625" style="1" customWidth="1"/>
    <col min="6407" max="6407" width="61" style="1" customWidth="1"/>
    <col min="6408" max="6658" width="9.140625" style="1"/>
    <col min="6659" max="6659" width="7.140625" style="1" customWidth="1"/>
    <col min="6660" max="6660" width="10.42578125" style="1" customWidth="1"/>
    <col min="6661" max="6661" width="12.85546875" style="1" customWidth="1"/>
    <col min="6662" max="6662" width="13.140625" style="1" customWidth="1"/>
    <col min="6663" max="6663" width="61" style="1" customWidth="1"/>
    <col min="6664" max="6914" width="9.140625" style="1"/>
    <col min="6915" max="6915" width="7.140625" style="1" customWidth="1"/>
    <col min="6916" max="6916" width="10.42578125" style="1" customWidth="1"/>
    <col min="6917" max="6917" width="12.85546875" style="1" customWidth="1"/>
    <col min="6918" max="6918" width="13.140625" style="1" customWidth="1"/>
    <col min="6919" max="6919" width="61" style="1" customWidth="1"/>
    <col min="6920" max="7170" width="9.140625" style="1"/>
    <col min="7171" max="7171" width="7.140625" style="1" customWidth="1"/>
    <col min="7172" max="7172" width="10.42578125" style="1" customWidth="1"/>
    <col min="7173" max="7173" width="12.85546875" style="1" customWidth="1"/>
    <col min="7174" max="7174" width="13.140625" style="1" customWidth="1"/>
    <col min="7175" max="7175" width="61" style="1" customWidth="1"/>
    <col min="7176" max="7426" width="9.140625" style="1"/>
    <col min="7427" max="7427" width="7.140625" style="1" customWidth="1"/>
    <col min="7428" max="7428" width="10.42578125" style="1" customWidth="1"/>
    <col min="7429" max="7429" width="12.85546875" style="1" customWidth="1"/>
    <col min="7430" max="7430" width="13.140625" style="1" customWidth="1"/>
    <col min="7431" max="7431" width="61" style="1" customWidth="1"/>
    <col min="7432" max="7682" width="9.140625" style="1"/>
    <col min="7683" max="7683" width="7.140625" style="1" customWidth="1"/>
    <col min="7684" max="7684" width="10.42578125" style="1" customWidth="1"/>
    <col min="7685" max="7685" width="12.85546875" style="1" customWidth="1"/>
    <col min="7686" max="7686" width="13.140625" style="1" customWidth="1"/>
    <col min="7687" max="7687" width="61" style="1" customWidth="1"/>
    <col min="7688" max="7938" width="9.140625" style="1"/>
    <col min="7939" max="7939" width="7.140625" style="1" customWidth="1"/>
    <col min="7940" max="7940" width="10.42578125" style="1" customWidth="1"/>
    <col min="7941" max="7941" width="12.85546875" style="1" customWidth="1"/>
    <col min="7942" max="7942" width="13.140625" style="1" customWidth="1"/>
    <col min="7943" max="7943" width="61" style="1" customWidth="1"/>
    <col min="7944" max="8194" width="9.140625" style="1"/>
    <col min="8195" max="8195" width="7.140625" style="1" customWidth="1"/>
    <col min="8196" max="8196" width="10.42578125" style="1" customWidth="1"/>
    <col min="8197" max="8197" width="12.85546875" style="1" customWidth="1"/>
    <col min="8198" max="8198" width="13.140625" style="1" customWidth="1"/>
    <col min="8199" max="8199" width="61" style="1" customWidth="1"/>
    <col min="8200" max="8450" width="9.140625" style="1"/>
    <col min="8451" max="8451" width="7.140625" style="1" customWidth="1"/>
    <col min="8452" max="8452" width="10.42578125" style="1" customWidth="1"/>
    <col min="8453" max="8453" width="12.85546875" style="1" customWidth="1"/>
    <col min="8454" max="8454" width="13.140625" style="1" customWidth="1"/>
    <col min="8455" max="8455" width="61" style="1" customWidth="1"/>
    <col min="8456" max="8706" width="9.140625" style="1"/>
    <col min="8707" max="8707" width="7.140625" style="1" customWidth="1"/>
    <col min="8708" max="8708" width="10.42578125" style="1" customWidth="1"/>
    <col min="8709" max="8709" width="12.85546875" style="1" customWidth="1"/>
    <col min="8710" max="8710" width="13.140625" style="1" customWidth="1"/>
    <col min="8711" max="8711" width="61" style="1" customWidth="1"/>
    <col min="8712" max="8962" width="9.140625" style="1"/>
    <col min="8963" max="8963" width="7.140625" style="1" customWidth="1"/>
    <col min="8964" max="8964" width="10.42578125" style="1" customWidth="1"/>
    <col min="8965" max="8965" width="12.85546875" style="1" customWidth="1"/>
    <col min="8966" max="8966" width="13.140625" style="1" customWidth="1"/>
    <col min="8967" max="8967" width="61" style="1" customWidth="1"/>
    <col min="8968" max="9218" width="9.140625" style="1"/>
    <col min="9219" max="9219" width="7.140625" style="1" customWidth="1"/>
    <col min="9220" max="9220" width="10.42578125" style="1" customWidth="1"/>
    <col min="9221" max="9221" width="12.85546875" style="1" customWidth="1"/>
    <col min="9222" max="9222" width="13.140625" style="1" customWidth="1"/>
    <col min="9223" max="9223" width="61" style="1" customWidth="1"/>
    <col min="9224" max="9474" width="9.140625" style="1"/>
    <col min="9475" max="9475" width="7.140625" style="1" customWidth="1"/>
    <col min="9476" max="9476" width="10.42578125" style="1" customWidth="1"/>
    <col min="9477" max="9477" width="12.85546875" style="1" customWidth="1"/>
    <col min="9478" max="9478" width="13.140625" style="1" customWidth="1"/>
    <col min="9479" max="9479" width="61" style="1" customWidth="1"/>
    <col min="9480" max="9730" width="9.140625" style="1"/>
    <col min="9731" max="9731" width="7.140625" style="1" customWidth="1"/>
    <col min="9732" max="9732" width="10.42578125" style="1" customWidth="1"/>
    <col min="9733" max="9733" width="12.85546875" style="1" customWidth="1"/>
    <col min="9734" max="9734" width="13.140625" style="1" customWidth="1"/>
    <col min="9735" max="9735" width="61" style="1" customWidth="1"/>
    <col min="9736" max="9986" width="9.140625" style="1"/>
    <col min="9987" max="9987" width="7.140625" style="1" customWidth="1"/>
    <col min="9988" max="9988" width="10.42578125" style="1" customWidth="1"/>
    <col min="9989" max="9989" width="12.85546875" style="1" customWidth="1"/>
    <col min="9990" max="9990" width="13.140625" style="1" customWidth="1"/>
    <col min="9991" max="9991" width="61" style="1" customWidth="1"/>
    <col min="9992" max="10242" width="9.140625" style="1"/>
    <col min="10243" max="10243" width="7.140625" style="1" customWidth="1"/>
    <col min="10244" max="10244" width="10.42578125" style="1" customWidth="1"/>
    <col min="10245" max="10245" width="12.85546875" style="1" customWidth="1"/>
    <col min="10246" max="10246" width="13.140625" style="1" customWidth="1"/>
    <col min="10247" max="10247" width="61" style="1" customWidth="1"/>
    <col min="10248" max="10498" width="9.140625" style="1"/>
    <col min="10499" max="10499" width="7.140625" style="1" customWidth="1"/>
    <col min="10500" max="10500" width="10.42578125" style="1" customWidth="1"/>
    <col min="10501" max="10501" width="12.85546875" style="1" customWidth="1"/>
    <col min="10502" max="10502" width="13.140625" style="1" customWidth="1"/>
    <col min="10503" max="10503" width="61" style="1" customWidth="1"/>
    <col min="10504" max="10754" width="9.140625" style="1"/>
    <col min="10755" max="10755" width="7.140625" style="1" customWidth="1"/>
    <col min="10756" max="10756" width="10.42578125" style="1" customWidth="1"/>
    <col min="10757" max="10757" width="12.85546875" style="1" customWidth="1"/>
    <col min="10758" max="10758" width="13.140625" style="1" customWidth="1"/>
    <col min="10759" max="10759" width="61" style="1" customWidth="1"/>
    <col min="10760" max="11010" width="9.140625" style="1"/>
    <col min="11011" max="11011" width="7.140625" style="1" customWidth="1"/>
    <col min="11012" max="11012" width="10.42578125" style="1" customWidth="1"/>
    <col min="11013" max="11013" width="12.85546875" style="1" customWidth="1"/>
    <col min="11014" max="11014" width="13.140625" style="1" customWidth="1"/>
    <col min="11015" max="11015" width="61" style="1" customWidth="1"/>
    <col min="11016" max="11266" width="9.140625" style="1"/>
    <col min="11267" max="11267" width="7.140625" style="1" customWidth="1"/>
    <col min="11268" max="11268" width="10.42578125" style="1" customWidth="1"/>
    <col min="11269" max="11269" width="12.85546875" style="1" customWidth="1"/>
    <col min="11270" max="11270" width="13.140625" style="1" customWidth="1"/>
    <col min="11271" max="11271" width="61" style="1" customWidth="1"/>
    <col min="11272" max="11522" width="9.140625" style="1"/>
    <col min="11523" max="11523" width="7.140625" style="1" customWidth="1"/>
    <col min="11524" max="11524" width="10.42578125" style="1" customWidth="1"/>
    <col min="11525" max="11525" width="12.85546875" style="1" customWidth="1"/>
    <col min="11526" max="11526" width="13.140625" style="1" customWidth="1"/>
    <col min="11527" max="11527" width="61" style="1" customWidth="1"/>
    <col min="11528" max="11778" width="9.140625" style="1"/>
    <col min="11779" max="11779" width="7.140625" style="1" customWidth="1"/>
    <col min="11780" max="11780" width="10.42578125" style="1" customWidth="1"/>
    <col min="11781" max="11781" width="12.85546875" style="1" customWidth="1"/>
    <col min="11782" max="11782" width="13.140625" style="1" customWidth="1"/>
    <col min="11783" max="11783" width="61" style="1" customWidth="1"/>
    <col min="11784" max="12034" width="9.140625" style="1"/>
    <col min="12035" max="12035" width="7.140625" style="1" customWidth="1"/>
    <col min="12036" max="12036" width="10.42578125" style="1" customWidth="1"/>
    <col min="12037" max="12037" width="12.85546875" style="1" customWidth="1"/>
    <col min="12038" max="12038" width="13.140625" style="1" customWidth="1"/>
    <col min="12039" max="12039" width="61" style="1" customWidth="1"/>
    <col min="12040" max="12290" width="9.140625" style="1"/>
    <col min="12291" max="12291" width="7.140625" style="1" customWidth="1"/>
    <col min="12292" max="12292" width="10.42578125" style="1" customWidth="1"/>
    <col min="12293" max="12293" width="12.85546875" style="1" customWidth="1"/>
    <col min="12294" max="12294" width="13.140625" style="1" customWidth="1"/>
    <col min="12295" max="12295" width="61" style="1" customWidth="1"/>
    <col min="12296" max="12546" width="9.140625" style="1"/>
    <col min="12547" max="12547" width="7.140625" style="1" customWidth="1"/>
    <col min="12548" max="12548" width="10.42578125" style="1" customWidth="1"/>
    <col min="12549" max="12549" width="12.85546875" style="1" customWidth="1"/>
    <col min="12550" max="12550" width="13.140625" style="1" customWidth="1"/>
    <col min="12551" max="12551" width="61" style="1" customWidth="1"/>
    <col min="12552" max="12802" width="9.140625" style="1"/>
    <col min="12803" max="12803" width="7.140625" style="1" customWidth="1"/>
    <col min="12804" max="12804" width="10.42578125" style="1" customWidth="1"/>
    <col min="12805" max="12805" width="12.85546875" style="1" customWidth="1"/>
    <col min="12806" max="12806" width="13.140625" style="1" customWidth="1"/>
    <col min="12807" max="12807" width="61" style="1" customWidth="1"/>
    <col min="12808" max="13058" width="9.140625" style="1"/>
    <col min="13059" max="13059" width="7.140625" style="1" customWidth="1"/>
    <col min="13060" max="13060" width="10.42578125" style="1" customWidth="1"/>
    <col min="13061" max="13061" width="12.85546875" style="1" customWidth="1"/>
    <col min="13062" max="13062" width="13.140625" style="1" customWidth="1"/>
    <col min="13063" max="13063" width="61" style="1" customWidth="1"/>
    <col min="13064" max="13314" width="9.140625" style="1"/>
    <col min="13315" max="13315" width="7.140625" style="1" customWidth="1"/>
    <col min="13316" max="13316" width="10.42578125" style="1" customWidth="1"/>
    <col min="13317" max="13317" width="12.85546875" style="1" customWidth="1"/>
    <col min="13318" max="13318" width="13.140625" style="1" customWidth="1"/>
    <col min="13319" max="13319" width="61" style="1" customWidth="1"/>
    <col min="13320" max="13570" width="9.140625" style="1"/>
    <col min="13571" max="13571" width="7.140625" style="1" customWidth="1"/>
    <col min="13572" max="13572" width="10.42578125" style="1" customWidth="1"/>
    <col min="13573" max="13573" width="12.85546875" style="1" customWidth="1"/>
    <col min="13574" max="13574" width="13.140625" style="1" customWidth="1"/>
    <col min="13575" max="13575" width="61" style="1" customWidth="1"/>
    <col min="13576" max="13826" width="9.140625" style="1"/>
    <col min="13827" max="13827" width="7.140625" style="1" customWidth="1"/>
    <col min="13828" max="13828" width="10.42578125" style="1" customWidth="1"/>
    <col min="13829" max="13829" width="12.85546875" style="1" customWidth="1"/>
    <col min="13830" max="13830" width="13.140625" style="1" customWidth="1"/>
    <col min="13831" max="13831" width="61" style="1" customWidth="1"/>
    <col min="13832" max="14082" width="9.140625" style="1"/>
    <col min="14083" max="14083" width="7.140625" style="1" customWidth="1"/>
    <col min="14084" max="14084" width="10.42578125" style="1" customWidth="1"/>
    <col min="14085" max="14085" width="12.85546875" style="1" customWidth="1"/>
    <col min="14086" max="14086" width="13.140625" style="1" customWidth="1"/>
    <col min="14087" max="14087" width="61" style="1" customWidth="1"/>
    <col min="14088" max="14338" width="9.140625" style="1"/>
    <col min="14339" max="14339" width="7.140625" style="1" customWidth="1"/>
    <col min="14340" max="14340" width="10.42578125" style="1" customWidth="1"/>
    <col min="14341" max="14341" width="12.85546875" style="1" customWidth="1"/>
    <col min="14342" max="14342" width="13.140625" style="1" customWidth="1"/>
    <col min="14343" max="14343" width="61" style="1" customWidth="1"/>
    <col min="14344" max="14594" width="9.140625" style="1"/>
    <col min="14595" max="14595" width="7.140625" style="1" customWidth="1"/>
    <col min="14596" max="14596" width="10.42578125" style="1" customWidth="1"/>
    <col min="14597" max="14597" width="12.85546875" style="1" customWidth="1"/>
    <col min="14598" max="14598" width="13.140625" style="1" customWidth="1"/>
    <col min="14599" max="14599" width="61" style="1" customWidth="1"/>
    <col min="14600" max="14850" width="9.140625" style="1"/>
    <col min="14851" max="14851" width="7.140625" style="1" customWidth="1"/>
    <col min="14852" max="14852" width="10.42578125" style="1" customWidth="1"/>
    <col min="14853" max="14853" width="12.85546875" style="1" customWidth="1"/>
    <col min="14854" max="14854" width="13.140625" style="1" customWidth="1"/>
    <col min="14855" max="14855" width="61" style="1" customWidth="1"/>
    <col min="14856" max="15106" width="9.140625" style="1"/>
    <col min="15107" max="15107" width="7.140625" style="1" customWidth="1"/>
    <col min="15108" max="15108" width="10.42578125" style="1" customWidth="1"/>
    <col min="15109" max="15109" width="12.85546875" style="1" customWidth="1"/>
    <col min="15110" max="15110" width="13.140625" style="1" customWidth="1"/>
    <col min="15111" max="15111" width="61" style="1" customWidth="1"/>
    <col min="15112" max="15362" width="9.140625" style="1"/>
    <col min="15363" max="15363" width="7.140625" style="1" customWidth="1"/>
    <col min="15364" max="15364" width="10.42578125" style="1" customWidth="1"/>
    <col min="15365" max="15365" width="12.85546875" style="1" customWidth="1"/>
    <col min="15366" max="15366" width="13.140625" style="1" customWidth="1"/>
    <col min="15367" max="15367" width="61" style="1" customWidth="1"/>
    <col min="15368" max="15618" width="9.140625" style="1"/>
    <col min="15619" max="15619" width="7.140625" style="1" customWidth="1"/>
    <col min="15620" max="15620" width="10.42578125" style="1" customWidth="1"/>
    <col min="15621" max="15621" width="12.85546875" style="1" customWidth="1"/>
    <col min="15622" max="15622" width="13.140625" style="1" customWidth="1"/>
    <col min="15623" max="15623" width="61" style="1" customWidth="1"/>
    <col min="15624" max="15874" width="9.140625" style="1"/>
    <col min="15875" max="15875" width="7.140625" style="1" customWidth="1"/>
    <col min="15876" max="15876" width="10.42578125" style="1" customWidth="1"/>
    <col min="15877" max="15877" width="12.85546875" style="1" customWidth="1"/>
    <col min="15878" max="15878" width="13.140625" style="1" customWidth="1"/>
    <col min="15879" max="15879" width="61" style="1" customWidth="1"/>
    <col min="15880" max="16130" width="9.140625" style="1"/>
    <col min="16131" max="16131" width="7.140625" style="1" customWidth="1"/>
    <col min="16132" max="16132" width="10.42578125" style="1" customWidth="1"/>
    <col min="16133" max="16133" width="12.85546875" style="1" customWidth="1"/>
    <col min="16134" max="16134" width="13.140625" style="1" customWidth="1"/>
    <col min="16135" max="16135" width="61" style="1" customWidth="1"/>
    <col min="16136" max="16384" width="9.140625" style="1"/>
  </cols>
  <sheetData>
    <row r="1" spans="1:7" ht="60" customHeight="1">
      <c r="B1" s="1684"/>
      <c r="C1" s="1684"/>
      <c r="D1" s="1684"/>
      <c r="E1" s="1685"/>
      <c r="G1" s="119" t="s">
        <v>1117</v>
      </c>
    </row>
    <row r="2" spans="1:7" ht="51.75" customHeight="1" thickBot="1">
      <c r="A2" s="1665" t="s">
        <v>169</v>
      </c>
      <c r="B2" s="1665"/>
      <c r="C2" s="1665"/>
      <c r="D2" s="1665"/>
      <c r="E2" s="1665"/>
      <c r="F2" s="1665"/>
      <c r="G2" s="1665"/>
    </row>
    <row r="3" spans="1:7" ht="36.75" customHeight="1" thickBot="1">
      <c r="A3" s="85" t="s">
        <v>15</v>
      </c>
      <c r="B3" s="85" t="s">
        <v>0</v>
      </c>
      <c r="C3" s="118" t="s">
        <v>1</v>
      </c>
      <c r="D3" s="37" t="s">
        <v>5</v>
      </c>
      <c r="E3" s="135" t="s">
        <v>61</v>
      </c>
      <c r="F3" s="136" t="s">
        <v>170</v>
      </c>
      <c r="G3" s="85" t="s">
        <v>156</v>
      </c>
    </row>
    <row r="4" spans="1:7" ht="25.5">
      <c r="A4" s="1674">
        <v>1</v>
      </c>
      <c r="B4" s="1686" t="s">
        <v>122</v>
      </c>
      <c r="C4" s="137" t="s">
        <v>123</v>
      </c>
      <c r="D4" s="138">
        <v>2830</v>
      </c>
      <c r="E4" s="139">
        <v>300000</v>
      </c>
      <c r="F4" s="124">
        <v>300000</v>
      </c>
      <c r="G4" s="140" t="s">
        <v>171</v>
      </c>
    </row>
    <row r="5" spans="1:7" ht="51.75" thickBot="1">
      <c r="A5" s="1675"/>
      <c r="B5" s="1687"/>
      <c r="C5" s="141" t="s">
        <v>125</v>
      </c>
      <c r="D5" s="142">
        <v>2360</v>
      </c>
      <c r="E5" s="143">
        <v>2347130</v>
      </c>
      <c r="F5" s="127">
        <v>1661830</v>
      </c>
      <c r="G5" s="144" t="s">
        <v>214</v>
      </c>
    </row>
    <row r="6" spans="1:7" ht="16.5" customHeight="1" thickBot="1">
      <c r="A6" s="145">
        <v>2</v>
      </c>
      <c r="B6" s="146" t="s">
        <v>7</v>
      </c>
      <c r="C6" s="146" t="s">
        <v>126</v>
      </c>
      <c r="D6" s="147">
        <v>2830</v>
      </c>
      <c r="E6" s="148">
        <v>56129575</v>
      </c>
      <c r="F6" s="149">
        <v>53619911</v>
      </c>
      <c r="G6" s="150" t="s">
        <v>172</v>
      </c>
    </row>
    <row r="7" spans="1:7" ht="16.5" customHeight="1" thickBot="1">
      <c r="A7" s="145">
        <v>3</v>
      </c>
      <c r="B7" s="146" t="s">
        <v>130</v>
      </c>
      <c r="C7" s="146" t="s">
        <v>131</v>
      </c>
      <c r="D7" s="147">
        <v>2360</v>
      </c>
      <c r="E7" s="148">
        <v>550000</v>
      </c>
      <c r="F7" s="149">
        <v>100000</v>
      </c>
      <c r="G7" s="150" t="s">
        <v>173</v>
      </c>
    </row>
    <row r="8" spans="1:7" ht="16.5" customHeight="1" thickBot="1">
      <c r="A8" s="145">
        <v>4</v>
      </c>
      <c r="B8" s="151">
        <v>754</v>
      </c>
      <c r="C8" s="151">
        <v>75415</v>
      </c>
      <c r="D8" s="152">
        <v>2360</v>
      </c>
      <c r="E8" s="153">
        <v>300000</v>
      </c>
      <c r="F8" s="149">
        <v>300000</v>
      </c>
      <c r="G8" s="154" t="s">
        <v>174</v>
      </c>
    </row>
    <row r="9" spans="1:7" ht="25.5">
      <c r="A9" s="1674">
        <v>5</v>
      </c>
      <c r="B9" s="1676" t="s">
        <v>136</v>
      </c>
      <c r="C9" s="155" t="s">
        <v>137</v>
      </c>
      <c r="D9" s="156">
        <v>2360</v>
      </c>
      <c r="E9" s="157">
        <v>80000</v>
      </c>
      <c r="F9" s="158">
        <v>80000</v>
      </c>
      <c r="G9" s="159" t="s">
        <v>175</v>
      </c>
    </row>
    <row r="10" spans="1:7" ht="39" thickBot="1">
      <c r="A10" s="1675"/>
      <c r="B10" s="1677"/>
      <c r="C10" s="160" t="s">
        <v>138</v>
      </c>
      <c r="D10" s="161">
        <v>2360</v>
      </c>
      <c r="E10" s="162">
        <v>416900</v>
      </c>
      <c r="F10" s="134">
        <v>396900</v>
      </c>
      <c r="G10" s="163" t="s">
        <v>176</v>
      </c>
    </row>
    <row r="11" spans="1:7" ht="25.5">
      <c r="A11" s="1674">
        <v>6</v>
      </c>
      <c r="B11" s="1676" t="s">
        <v>139</v>
      </c>
      <c r="C11" s="155" t="s">
        <v>140</v>
      </c>
      <c r="D11" s="156">
        <v>2360</v>
      </c>
      <c r="E11" s="157">
        <v>180000</v>
      </c>
      <c r="F11" s="158">
        <v>180000</v>
      </c>
      <c r="G11" s="164" t="s">
        <v>177</v>
      </c>
    </row>
    <row r="12" spans="1:7" ht="28.5" customHeight="1" thickBot="1">
      <c r="A12" s="1675"/>
      <c r="B12" s="1677"/>
      <c r="C12" s="160" t="s">
        <v>141</v>
      </c>
      <c r="D12" s="161">
        <v>2360</v>
      </c>
      <c r="E12" s="162">
        <v>2809911</v>
      </c>
      <c r="F12" s="134">
        <v>680000</v>
      </c>
      <c r="G12" s="163" t="s">
        <v>179</v>
      </c>
    </row>
    <row r="13" spans="1:7" ht="45" customHeight="1" thickBot="1">
      <c r="A13" s="145">
        <v>7</v>
      </c>
      <c r="B13" s="165" t="s">
        <v>142</v>
      </c>
      <c r="C13" s="165" t="s">
        <v>143</v>
      </c>
      <c r="D13" s="166">
        <v>2360</v>
      </c>
      <c r="E13" s="167">
        <v>1725542</v>
      </c>
      <c r="F13" s="168">
        <v>777925</v>
      </c>
      <c r="G13" s="169" t="s">
        <v>180</v>
      </c>
    </row>
    <row r="14" spans="1:7" ht="31.5" customHeight="1" thickBot="1">
      <c r="A14" s="1680">
        <v>8</v>
      </c>
      <c r="B14" s="1682" t="s">
        <v>215</v>
      </c>
      <c r="C14" s="165" t="s">
        <v>216</v>
      </c>
      <c r="D14" s="166">
        <v>2360</v>
      </c>
      <c r="E14" s="167">
        <v>90000</v>
      </c>
      <c r="F14" s="168">
        <v>90000</v>
      </c>
      <c r="G14" s="169" t="s">
        <v>178</v>
      </c>
    </row>
    <row r="15" spans="1:7" ht="30" customHeight="1" thickBot="1">
      <c r="A15" s="1681"/>
      <c r="B15" s="1683"/>
      <c r="C15" s="165" t="s">
        <v>217</v>
      </c>
      <c r="D15" s="166">
        <v>2360</v>
      </c>
      <c r="E15" s="167">
        <v>3624649</v>
      </c>
      <c r="F15" s="168">
        <v>3619649</v>
      </c>
      <c r="G15" s="169" t="s">
        <v>1107</v>
      </c>
    </row>
    <row r="16" spans="1:7" ht="18" customHeight="1" thickBot="1">
      <c r="A16" s="145">
        <v>9</v>
      </c>
      <c r="B16" s="165" t="s">
        <v>10</v>
      </c>
      <c r="C16" s="165" t="s">
        <v>147</v>
      </c>
      <c r="D16" s="166">
        <v>2360</v>
      </c>
      <c r="E16" s="167">
        <v>640000</v>
      </c>
      <c r="F16" s="168">
        <v>500000</v>
      </c>
      <c r="G16" s="170" t="s">
        <v>181</v>
      </c>
    </row>
    <row r="17" spans="1:7" ht="30.75" customHeight="1" thickBot="1">
      <c r="A17" s="145">
        <v>10</v>
      </c>
      <c r="B17" s="165" t="s">
        <v>10</v>
      </c>
      <c r="C17" s="165" t="s">
        <v>148</v>
      </c>
      <c r="D17" s="166">
        <v>2720</v>
      </c>
      <c r="E17" s="167">
        <v>500000</v>
      </c>
      <c r="F17" s="168">
        <v>500000</v>
      </c>
      <c r="G17" s="170" t="s">
        <v>182</v>
      </c>
    </row>
    <row r="18" spans="1:7" ht="13.5" customHeight="1">
      <c r="A18" s="1674">
        <v>11</v>
      </c>
      <c r="B18" s="1676" t="s">
        <v>149</v>
      </c>
      <c r="C18" s="1676" t="s">
        <v>150</v>
      </c>
      <c r="D18" s="171">
        <v>2360</v>
      </c>
      <c r="E18" s="1678">
        <v>2700322</v>
      </c>
      <c r="F18" s="158">
        <v>160000</v>
      </c>
      <c r="G18" s="1671" t="s">
        <v>183</v>
      </c>
    </row>
    <row r="19" spans="1:7" ht="16.5" customHeight="1" thickBot="1">
      <c r="A19" s="1675"/>
      <c r="B19" s="1677"/>
      <c r="C19" s="1677"/>
      <c r="D19" s="133">
        <v>2820</v>
      </c>
      <c r="E19" s="1679"/>
      <c r="F19" s="134">
        <v>2043972</v>
      </c>
      <c r="G19" s="1672"/>
    </row>
    <row r="20" spans="1:7" s="172" customFormat="1" ht="30" customHeight="1" thickBot="1">
      <c r="A20" s="1673" t="s">
        <v>60</v>
      </c>
      <c r="B20" s="1673"/>
      <c r="C20" s="1673"/>
      <c r="D20" s="120"/>
      <c r="E20" s="34">
        <f>SUM(E4:E19)</f>
        <v>72394029</v>
      </c>
      <c r="F20" s="34">
        <f>SUM(F4:F19)</f>
        <v>65010187</v>
      </c>
      <c r="G20" s="35"/>
    </row>
    <row r="21" spans="1:7">
      <c r="B21" s="116"/>
      <c r="C21" s="116"/>
      <c r="D21" s="116"/>
      <c r="E21" s="117"/>
      <c r="F21" s="117"/>
      <c r="G21" s="173"/>
    </row>
    <row r="22" spans="1:7">
      <c r="B22" s="116"/>
      <c r="C22" s="116"/>
      <c r="D22" s="116"/>
      <c r="E22" s="117"/>
      <c r="F22" s="117"/>
      <c r="G22" s="173"/>
    </row>
    <row r="23" spans="1:7">
      <c r="B23" s="116"/>
      <c r="C23" s="116"/>
      <c r="D23" s="116"/>
      <c r="E23" s="117"/>
      <c r="F23" s="117"/>
      <c r="G23" s="173"/>
    </row>
    <row r="24" spans="1:7">
      <c r="B24" s="116"/>
      <c r="C24" s="116"/>
      <c r="D24" s="116"/>
      <c r="E24" s="117"/>
      <c r="F24" s="117"/>
      <c r="G24" s="173"/>
    </row>
    <row r="25" spans="1:7">
      <c r="B25" s="116"/>
      <c r="C25" s="116"/>
      <c r="D25" s="116"/>
      <c r="E25" s="117"/>
      <c r="F25" s="117"/>
      <c r="G25" s="173"/>
    </row>
    <row r="26" spans="1:7">
      <c r="B26" s="116"/>
      <c r="C26" s="116"/>
      <c r="D26" s="116"/>
      <c r="E26" s="117"/>
      <c r="F26" s="117"/>
      <c r="G26" s="173"/>
    </row>
    <row r="27" spans="1:7">
      <c r="B27" s="116"/>
      <c r="C27" s="116"/>
      <c r="D27" s="116"/>
      <c r="E27" s="117"/>
      <c r="F27" s="117"/>
      <c r="G27" s="173"/>
    </row>
    <row r="28" spans="1:7">
      <c r="B28" s="116"/>
      <c r="C28" s="116"/>
      <c r="D28" s="116"/>
      <c r="E28" s="117"/>
      <c r="G28" s="173"/>
    </row>
    <row r="29" spans="1:7">
      <c r="B29" s="116"/>
      <c r="C29" s="116"/>
      <c r="D29" s="116"/>
      <c r="E29" s="117"/>
      <c r="F29" s="117"/>
      <c r="G29" s="173"/>
    </row>
    <row r="30" spans="1:7">
      <c r="B30" s="116"/>
      <c r="C30" s="116"/>
      <c r="D30" s="116"/>
      <c r="E30" s="117"/>
      <c r="F30" s="117"/>
      <c r="G30" s="173"/>
    </row>
    <row r="31" spans="1:7">
      <c r="B31" s="116"/>
      <c r="C31" s="116"/>
      <c r="D31" s="116"/>
      <c r="E31" s="117"/>
      <c r="F31" s="117"/>
      <c r="G31" s="173"/>
    </row>
    <row r="32" spans="1:7">
      <c r="B32" s="116"/>
      <c r="C32" s="116"/>
      <c r="D32" s="116"/>
      <c r="E32" s="117"/>
      <c r="F32" s="117"/>
      <c r="G32" s="173"/>
    </row>
    <row r="33" spans="2:7">
      <c r="B33" s="116"/>
      <c r="C33" s="116"/>
      <c r="D33" s="116"/>
      <c r="E33" s="117"/>
      <c r="F33" s="117"/>
      <c r="G33" s="173"/>
    </row>
    <row r="34" spans="2:7">
      <c r="B34" s="116"/>
      <c r="C34" s="116"/>
      <c r="D34" s="116"/>
      <c r="E34" s="117"/>
      <c r="F34" s="117"/>
      <c r="G34" s="173"/>
    </row>
    <row r="35" spans="2:7">
      <c r="B35" s="116"/>
      <c r="C35" s="174"/>
      <c r="D35" s="174"/>
      <c r="E35" s="175"/>
      <c r="F35" s="175"/>
    </row>
    <row r="36" spans="2:7">
      <c r="B36" s="116"/>
      <c r="C36" s="174"/>
      <c r="D36" s="174"/>
      <c r="E36" s="175"/>
      <c r="F36" s="175"/>
    </row>
    <row r="37" spans="2:7">
      <c r="B37" s="116"/>
      <c r="C37" s="174"/>
      <c r="D37" s="174"/>
      <c r="E37" s="175"/>
      <c r="F37" s="175"/>
    </row>
    <row r="38" spans="2:7">
      <c r="B38" s="116"/>
      <c r="C38" s="174"/>
      <c r="D38" s="174"/>
      <c r="E38" s="175"/>
      <c r="F38" s="175"/>
    </row>
    <row r="39" spans="2:7">
      <c r="B39" s="116"/>
      <c r="C39" s="174"/>
      <c r="D39" s="174"/>
      <c r="E39" s="175"/>
      <c r="F39" s="175"/>
    </row>
    <row r="40" spans="2:7">
      <c r="B40" s="116"/>
      <c r="C40" s="174"/>
      <c r="D40" s="174"/>
      <c r="E40" s="175"/>
      <c r="F40" s="175"/>
    </row>
    <row r="41" spans="2:7">
      <c r="B41" s="116"/>
      <c r="C41" s="174"/>
      <c r="D41" s="174"/>
      <c r="E41" s="175"/>
      <c r="F41" s="175"/>
    </row>
    <row r="42" spans="2:7">
      <c r="B42" s="116"/>
      <c r="C42" s="174"/>
      <c r="D42" s="174"/>
      <c r="E42" s="175"/>
      <c r="F42" s="175"/>
    </row>
    <row r="43" spans="2:7">
      <c r="B43" s="116"/>
      <c r="C43" s="174"/>
      <c r="D43" s="174"/>
      <c r="E43" s="175"/>
      <c r="F43" s="175"/>
    </row>
    <row r="44" spans="2:7">
      <c r="B44" s="116"/>
      <c r="C44" s="174"/>
      <c r="D44" s="174"/>
      <c r="E44" s="175"/>
      <c r="F44" s="175"/>
    </row>
    <row r="45" spans="2:7">
      <c r="B45" s="116"/>
      <c r="C45" s="174"/>
      <c r="D45" s="174"/>
      <c r="E45" s="175"/>
      <c r="F45" s="175"/>
    </row>
    <row r="46" spans="2:7">
      <c r="B46" s="116"/>
      <c r="C46" s="174"/>
      <c r="D46" s="174"/>
      <c r="E46" s="175"/>
      <c r="F46" s="175"/>
    </row>
    <row r="47" spans="2:7">
      <c r="B47" s="116"/>
      <c r="C47" s="174"/>
      <c r="D47" s="174"/>
      <c r="E47" s="175"/>
      <c r="F47" s="175"/>
    </row>
    <row r="48" spans="2:7">
      <c r="B48" s="116"/>
      <c r="C48" s="174"/>
      <c r="D48" s="174"/>
      <c r="E48" s="175"/>
      <c r="F48" s="175"/>
    </row>
    <row r="49" spans="2:6">
      <c r="B49" s="116"/>
      <c r="C49" s="174"/>
      <c r="D49" s="174"/>
      <c r="E49" s="175"/>
      <c r="F49" s="175"/>
    </row>
    <row r="50" spans="2:6">
      <c r="B50" s="116"/>
      <c r="C50" s="174"/>
      <c r="D50" s="174"/>
      <c r="E50" s="175"/>
      <c r="F50" s="175"/>
    </row>
    <row r="51" spans="2:6">
      <c r="B51" s="116"/>
      <c r="C51" s="174"/>
      <c r="D51" s="174"/>
      <c r="E51" s="175"/>
      <c r="F51" s="175"/>
    </row>
    <row r="52" spans="2:6">
      <c r="B52" s="116"/>
      <c r="C52" s="174"/>
      <c r="D52" s="174"/>
      <c r="E52" s="175"/>
      <c r="F52" s="175"/>
    </row>
    <row r="53" spans="2:6">
      <c r="B53" s="116"/>
      <c r="C53" s="174"/>
      <c r="D53" s="174"/>
      <c r="E53" s="175"/>
      <c r="F53" s="175"/>
    </row>
    <row r="54" spans="2:6">
      <c r="B54" s="116"/>
      <c r="C54" s="174"/>
      <c r="D54" s="174"/>
      <c r="E54" s="175"/>
      <c r="F54" s="175"/>
    </row>
    <row r="55" spans="2:6">
      <c r="B55" s="116"/>
      <c r="C55" s="174"/>
      <c r="D55" s="174"/>
      <c r="E55" s="175"/>
      <c r="F55" s="175"/>
    </row>
    <row r="56" spans="2:6">
      <c r="B56" s="116"/>
      <c r="C56" s="174"/>
      <c r="D56" s="174"/>
      <c r="E56" s="175"/>
      <c r="F56" s="175"/>
    </row>
    <row r="57" spans="2:6">
      <c r="B57" s="116"/>
      <c r="C57" s="174"/>
      <c r="D57" s="174"/>
      <c r="E57" s="175"/>
      <c r="F57" s="175"/>
    </row>
    <row r="58" spans="2:6">
      <c r="B58" s="116"/>
      <c r="C58" s="174"/>
      <c r="D58" s="174"/>
      <c r="E58" s="175"/>
      <c r="F58" s="175"/>
    </row>
    <row r="59" spans="2:6">
      <c r="B59" s="116"/>
      <c r="C59" s="174"/>
      <c r="D59" s="174"/>
      <c r="E59" s="175"/>
      <c r="F59" s="175"/>
    </row>
    <row r="60" spans="2:6">
      <c r="B60" s="116"/>
      <c r="C60" s="174"/>
      <c r="D60" s="174"/>
      <c r="E60" s="175"/>
      <c r="F60" s="175"/>
    </row>
    <row r="61" spans="2:6">
      <c r="B61" s="116"/>
      <c r="C61" s="174"/>
      <c r="D61" s="174"/>
      <c r="E61" s="175"/>
      <c r="F61" s="175"/>
    </row>
    <row r="62" spans="2:6">
      <c r="B62" s="116"/>
      <c r="C62" s="174"/>
      <c r="D62" s="174"/>
      <c r="E62" s="175"/>
      <c r="F62" s="175"/>
    </row>
    <row r="63" spans="2:6">
      <c r="B63" s="116"/>
      <c r="C63" s="174"/>
      <c r="D63" s="174"/>
      <c r="E63" s="175"/>
      <c r="F63" s="175"/>
    </row>
    <row r="64" spans="2:6">
      <c r="B64" s="116"/>
      <c r="C64" s="174"/>
      <c r="D64" s="174"/>
      <c r="E64" s="175"/>
      <c r="F64" s="175"/>
    </row>
    <row r="65" spans="2:6">
      <c r="B65" s="116"/>
      <c r="C65" s="174"/>
      <c r="D65" s="174"/>
      <c r="E65" s="175"/>
      <c r="F65" s="175"/>
    </row>
    <row r="66" spans="2:6">
      <c r="B66" s="116"/>
      <c r="C66" s="174"/>
      <c r="D66" s="174"/>
      <c r="E66" s="175"/>
      <c r="F66" s="175"/>
    </row>
    <row r="67" spans="2:6">
      <c r="B67" s="116"/>
      <c r="C67" s="174"/>
      <c r="D67" s="174"/>
      <c r="E67" s="176"/>
      <c r="F67" s="176"/>
    </row>
    <row r="68" spans="2:6">
      <c r="B68" s="116"/>
      <c r="C68" s="174"/>
      <c r="D68" s="174"/>
      <c r="E68" s="176"/>
      <c r="F68" s="176"/>
    </row>
    <row r="69" spans="2:6">
      <c r="B69" s="116"/>
      <c r="C69" s="174"/>
      <c r="D69" s="174"/>
      <c r="E69" s="176"/>
      <c r="F69" s="176"/>
    </row>
    <row r="70" spans="2:6">
      <c r="B70" s="116"/>
      <c r="C70" s="177"/>
      <c r="D70" s="177"/>
      <c r="E70" s="176"/>
      <c r="F70" s="176"/>
    </row>
    <row r="71" spans="2:6">
      <c r="B71" s="116"/>
      <c r="C71" s="177"/>
      <c r="D71" s="177"/>
      <c r="E71" s="176"/>
      <c r="F71" s="176"/>
    </row>
    <row r="72" spans="2:6">
      <c r="B72" s="116"/>
      <c r="C72" s="177"/>
      <c r="D72" s="177"/>
      <c r="E72" s="176"/>
      <c r="F72" s="176"/>
    </row>
    <row r="73" spans="2:6">
      <c r="B73" s="116"/>
      <c r="C73" s="177"/>
      <c r="D73" s="177"/>
      <c r="E73" s="176"/>
      <c r="F73" s="176"/>
    </row>
    <row r="74" spans="2:6">
      <c r="B74" s="116"/>
      <c r="C74" s="177"/>
      <c r="D74" s="177"/>
      <c r="E74" s="176"/>
      <c r="F74" s="176"/>
    </row>
    <row r="75" spans="2:6">
      <c r="B75" s="116"/>
      <c r="C75" s="177"/>
      <c r="D75" s="177"/>
      <c r="E75" s="176"/>
      <c r="F75" s="176"/>
    </row>
    <row r="76" spans="2:6">
      <c r="B76" s="116"/>
      <c r="C76" s="177"/>
      <c r="D76" s="177"/>
      <c r="E76" s="176"/>
      <c r="F76" s="176"/>
    </row>
    <row r="77" spans="2:6">
      <c r="B77" s="116"/>
      <c r="C77" s="177"/>
      <c r="D77" s="177"/>
      <c r="E77" s="176"/>
      <c r="F77" s="176"/>
    </row>
    <row r="78" spans="2:6">
      <c r="B78" s="116"/>
      <c r="C78" s="177"/>
      <c r="D78" s="177"/>
      <c r="E78" s="176"/>
      <c r="F78" s="176"/>
    </row>
    <row r="79" spans="2:6">
      <c r="B79" s="116"/>
      <c r="C79" s="177"/>
      <c r="D79" s="177"/>
      <c r="E79" s="176"/>
      <c r="F79" s="176"/>
    </row>
    <row r="80" spans="2:6">
      <c r="B80" s="116"/>
      <c r="C80" s="177"/>
      <c r="D80" s="177"/>
      <c r="E80" s="176"/>
      <c r="F80" s="176"/>
    </row>
    <row r="81" spans="2:6">
      <c r="B81" s="116"/>
      <c r="C81" s="177"/>
      <c r="D81" s="177"/>
      <c r="E81" s="176"/>
      <c r="F81" s="176"/>
    </row>
    <row r="82" spans="2:6">
      <c r="B82" s="116"/>
      <c r="C82" s="177"/>
      <c r="D82" s="177"/>
      <c r="E82" s="176"/>
      <c r="F82" s="176"/>
    </row>
    <row r="83" spans="2:6">
      <c r="B83" s="116"/>
      <c r="C83" s="177"/>
      <c r="D83" s="177"/>
      <c r="E83" s="176"/>
      <c r="F83" s="176"/>
    </row>
    <row r="84" spans="2:6">
      <c r="B84" s="116"/>
      <c r="C84" s="177"/>
      <c r="D84" s="177"/>
      <c r="E84" s="176"/>
      <c r="F84" s="176"/>
    </row>
    <row r="85" spans="2:6">
      <c r="B85" s="116"/>
      <c r="C85" s="177"/>
      <c r="D85" s="177"/>
      <c r="E85" s="176"/>
      <c r="F85" s="176"/>
    </row>
    <row r="86" spans="2:6">
      <c r="B86" s="116"/>
      <c r="C86" s="177"/>
      <c r="D86" s="177"/>
      <c r="E86" s="176"/>
      <c r="F86" s="176"/>
    </row>
    <row r="87" spans="2:6">
      <c r="B87" s="116"/>
      <c r="C87" s="177"/>
      <c r="D87" s="177"/>
      <c r="E87" s="176"/>
      <c r="F87" s="176"/>
    </row>
    <row r="88" spans="2:6">
      <c r="B88" s="116"/>
      <c r="C88" s="177"/>
      <c r="D88" s="177"/>
      <c r="E88" s="176"/>
      <c r="F88" s="176"/>
    </row>
    <row r="89" spans="2:6">
      <c r="B89" s="116"/>
      <c r="C89" s="177"/>
      <c r="D89" s="177"/>
      <c r="E89" s="176"/>
      <c r="F89" s="176"/>
    </row>
    <row r="90" spans="2:6">
      <c r="B90" s="116"/>
      <c r="C90" s="177"/>
      <c r="D90" s="177"/>
      <c r="E90" s="176"/>
      <c r="F90" s="176"/>
    </row>
    <row r="91" spans="2:6">
      <c r="B91" s="116"/>
      <c r="C91" s="177"/>
      <c r="D91" s="177"/>
      <c r="E91" s="176"/>
      <c r="F91" s="176"/>
    </row>
    <row r="92" spans="2:6">
      <c r="B92" s="116"/>
      <c r="C92" s="177"/>
      <c r="D92" s="177"/>
      <c r="E92" s="176"/>
      <c r="F92" s="176"/>
    </row>
    <row r="93" spans="2:6">
      <c r="B93" s="116"/>
      <c r="C93" s="177"/>
      <c r="D93" s="177"/>
      <c r="E93" s="176"/>
      <c r="F93" s="176"/>
    </row>
    <row r="94" spans="2:6">
      <c r="B94" s="178"/>
      <c r="C94" s="179"/>
      <c r="D94" s="179"/>
    </row>
    <row r="95" spans="2:6">
      <c r="B95" s="178"/>
      <c r="C95" s="179"/>
      <c r="D95" s="179"/>
    </row>
    <row r="96" spans="2:6">
      <c r="B96" s="178"/>
      <c r="C96" s="179"/>
      <c r="D96" s="179"/>
    </row>
    <row r="97" spans="2:4">
      <c r="B97" s="178"/>
      <c r="C97" s="179"/>
      <c r="D97" s="179"/>
    </row>
    <row r="98" spans="2:4">
      <c r="B98" s="178"/>
      <c r="C98" s="179"/>
      <c r="D98" s="179"/>
    </row>
    <row r="99" spans="2:4">
      <c r="B99" s="178"/>
      <c r="C99" s="179"/>
      <c r="D99" s="179"/>
    </row>
    <row r="100" spans="2:4">
      <c r="B100" s="178"/>
      <c r="C100" s="179"/>
      <c r="D100" s="179"/>
    </row>
    <row r="101" spans="2:4">
      <c r="B101" s="178"/>
      <c r="C101" s="179"/>
      <c r="D101" s="179"/>
    </row>
    <row r="102" spans="2:4">
      <c r="B102" s="178"/>
      <c r="C102" s="179"/>
      <c r="D102" s="179"/>
    </row>
    <row r="103" spans="2:4">
      <c r="B103" s="178"/>
      <c r="C103" s="179"/>
      <c r="D103" s="179"/>
    </row>
    <row r="104" spans="2:4">
      <c r="B104" s="178"/>
      <c r="C104" s="179"/>
      <c r="D104" s="179"/>
    </row>
    <row r="105" spans="2:4">
      <c r="B105" s="178"/>
      <c r="C105" s="179"/>
      <c r="D105" s="179"/>
    </row>
    <row r="106" spans="2:4">
      <c r="B106" s="178"/>
      <c r="C106" s="179"/>
      <c r="D106" s="179"/>
    </row>
    <row r="107" spans="2:4">
      <c r="B107" s="178"/>
      <c r="C107" s="179"/>
      <c r="D107" s="179"/>
    </row>
    <row r="108" spans="2:4">
      <c r="B108" s="178"/>
      <c r="C108" s="179"/>
      <c r="D108" s="179"/>
    </row>
    <row r="109" spans="2:4">
      <c r="B109" s="178"/>
      <c r="C109" s="179"/>
      <c r="D109" s="179"/>
    </row>
    <row r="110" spans="2:4">
      <c r="B110" s="179"/>
      <c r="C110" s="179"/>
      <c r="D110" s="179"/>
    </row>
    <row r="111" spans="2:4">
      <c r="B111" s="179"/>
      <c r="C111" s="179"/>
      <c r="D111" s="179"/>
    </row>
    <row r="112" spans="2:4">
      <c r="B112" s="179"/>
      <c r="C112" s="179"/>
      <c r="D112" s="179"/>
    </row>
    <row r="113" spans="2:4">
      <c r="B113" s="179"/>
      <c r="C113" s="179"/>
      <c r="D113" s="179"/>
    </row>
    <row r="114" spans="2:4">
      <c r="B114" s="179"/>
      <c r="C114" s="179"/>
      <c r="D114" s="179"/>
    </row>
    <row r="115" spans="2:4">
      <c r="B115" s="179"/>
      <c r="C115" s="179"/>
      <c r="D115" s="179"/>
    </row>
    <row r="116" spans="2:4">
      <c r="B116" s="179"/>
      <c r="C116" s="179"/>
      <c r="D116" s="179"/>
    </row>
    <row r="117" spans="2:4">
      <c r="B117" s="179"/>
      <c r="C117" s="179"/>
      <c r="D117" s="179"/>
    </row>
    <row r="118" spans="2:4">
      <c r="B118" s="179"/>
      <c r="C118" s="179"/>
      <c r="D118" s="179"/>
    </row>
    <row r="119" spans="2:4">
      <c r="B119" s="179"/>
      <c r="C119" s="179"/>
      <c r="D119" s="179"/>
    </row>
    <row r="120" spans="2:4">
      <c r="B120" s="179"/>
      <c r="C120" s="179"/>
      <c r="D120" s="179"/>
    </row>
    <row r="121" spans="2:4">
      <c r="B121" s="179"/>
      <c r="C121" s="179"/>
      <c r="D121" s="179"/>
    </row>
    <row r="122" spans="2:4">
      <c r="B122" s="179"/>
      <c r="C122" s="179"/>
      <c r="D122" s="179"/>
    </row>
    <row r="123" spans="2:4">
      <c r="B123" s="179"/>
      <c r="C123" s="179"/>
      <c r="D123" s="179"/>
    </row>
    <row r="124" spans="2:4">
      <c r="B124" s="179"/>
      <c r="C124" s="179"/>
      <c r="D124" s="179"/>
    </row>
    <row r="125" spans="2:4">
      <c r="B125" s="179"/>
      <c r="C125" s="179"/>
      <c r="D125" s="179"/>
    </row>
    <row r="126" spans="2:4">
      <c r="B126" s="179"/>
      <c r="C126" s="179"/>
      <c r="D126" s="179"/>
    </row>
    <row r="127" spans="2:4">
      <c r="B127" s="179"/>
      <c r="C127" s="179"/>
      <c r="D127" s="179"/>
    </row>
    <row r="128" spans="2:4">
      <c r="B128" s="179"/>
      <c r="C128" s="179"/>
      <c r="D128" s="179"/>
    </row>
    <row r="129" spans="2:4">
      <c r="B129" s="179"/>
      <c r="C129" s="179"/>
      <c r="D129" s="179"/>
    </row>
    <row r="130" spans="2:4">
      <c r="B130" s="179"/>
      <c r="C130" s="179"/>
      <c r="D130" s="179"/>
    </row>
    <row r="131" spans="2:4">
      <c r="B131" s="179"/>
      <c r="C131" s="179"/>
      <c r="D131" s="179"/>
    </row>
    <row r="132" spans="2:4">
      <c r="B132" s="179"/>
      <c r="C132" s="179"/>
      <c r="D132" s="179"/>
    </row>
    <row r="133" spans="2:4">
      <c r="B133" s="179"/>
      <c r="C133" s="179"/>
      <c r="D133" s="179"/>
    </row>
    <row r="134" spans="2:4">
      <c r="B134" s="179"/>
      <c r="C134" s="179"/>
      <c r="D134" s="179"/>
    </row>
    <row r="135" spans="2:4">
      <c r="B135" s="179"/>
      <c r="C135" s="179"/>
      <c r="D135" s="179"/>
    </row>
    <row r="136" spans="2:4">
      <c r="B136" s="179"/>
      <c r="C136" s="179"/>
      <c r="D136" s="179"/>
    </row>
    <row r="137" spans="2:4">
      <c r="B137" s="179"/>
      <c r="C137" s="179"/>
      <c r="D137" s="179"/>
    </row>
    <row r="138" spans="2:4">
      <c r="B138" s="179"/>
      <c r="C138" s="179"/>
      <c r="D138" s="179"/>
    </row>
    <row r="139" spans="2:4">
      <c r="B139" s="179"/>
      <c r="C139" s="179"/>
      <c r="D139" s="179"/>
    </row>
    <row r="140" spans="2:4">
      <c r="B140" s="179"/>
      <c r="C140" s="179"/>
      <c r="D140" s="179"/>
    </row>
    <row r="141" spans="2:4">
      <c r="B141" s="179"/>
      <c r="C141" s="179"/>
      <c r="D141" s="179"/>
    </row>
    <row r="142" spans="2:4">
      <c r="B142" s="179"/>
      <c r="C142" s="179"/>
      <c r="D142" s="179"/>
    </row>
    <row r="143" spans="2:4">
      <c r="B143" s="179"/>
      <c r="C143" s="179"/>
      <c r="D143" s="179"/>
    </row>
    <row r="144" spans="2:4">
      <c r="B144" s="179"/>
      <c r="C144" s="179"/>
      <c r="D144" s="179"/>
    </row>
    <row r="145" spans="2:4">
      <c r="B145" s="179"/>
      <c r="C145" s="179"/>
      <c r="D145" s="179"/>
    </row>
    <row r="146" spans="2:4">
      <c r="B146" s="179"/>
      <c r="C146" s="179"/>
      <c r="D146" s="179"/>
    </row>
  </sheetData>
  <mergeCells count="16">
    <mergeCell ref="B1:E1"/>
    <mergeCell ref="A2:G2"/>
    <mergeCell ref="A4:A5"/>
    <mergeCell ref="B4:B5"/>
    <mergeCell ref="A9:A10"/>
    <mergeCell ref="B9:B10"/>
    <mergeCell ref="G18:G19"/>
    <mergeCell ref="A20:C20"/>
    <mergeCell ref="A11:A12"/>
    <mergeCell ref="B11:B12"/>
    <mergeCell ref="A18:A19"/>
    <mergeCell ref="B18:B19"/>
    <mergeCell ref="C18:C19"/>
    <mergeCell ref="E18:E19"/>
    <mergeCell ref="A14:A15"/>
    <mergeCell ref="B14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F23"/>
  <sheetViews>
    <sheetView view="pageBreakPreview" zoomScaleNormal="100" zoomScaleSheetLayoutView="100" workbookViewId="0">
      <selection activeCell="K4" sqref="K4"/>
    </sheetView>
  </sheetViews>
  <sheetFormatPr defaultRowHeight="12.75"/>
  <cols>
    <col min="1" max="1" width="10.7109375" style="1" customWidth="1"/>
    <col min="2" max="2" width="10.5703125" style="1" customWidth="1"/>
    <col min="3" max="3" width="12.140625" style="1" customWidth="1"/>
    <col min="4" max="4" width="15.85546875" style="1" customWidth="1"/>
    <col min="5" max="5" width="19" style="1" customWidth="1"/>
    <col min="6" max="6" width="59.42578125" style="1" customWidth="1"/>
    <col min="7" max="256" width="9.140625" style="1"/>
    <col min="257" max="257" width="10.7109375" style="1" customWidth="1"/>
    <col min="258" max="258" width="10.5703125" style="1" customWidth="1"/>
    <col min="259" max="259" width="10.28515625" style="1" customWidth="1"/>
    <col min="260" max="260" width="13.28515625" style="1" customWidth="1"/>
    <col min="261" max="261" width="13.42578125" style="1" customWidth="1"/>
    <col min="262" max="262" width="54.42578125" style="1" customWidth="1"/>
    <col min="263" max="512" width="9.140625" style="1"/>
    <col min="513" max="513" width="10.7109375" style="1" customWidth="1"/>
    <col min="514" max="514" width="10.5703125" style="1" customWidth="1"/>
    <col min="515" max="515" width="10.28515625" style="1" customWidth="1"/>
    <col min="516" max="516" width="13.28515625" style="1" customWidth="1"/>
    <col min="517" max="517" width="13.42578125" style="1" customWidth="1"/>
    <col min="518" max="518" width="54.42578125" style="1" customWidth="1"/>
    <col min="519" max="768" width="9.140625" style="1"/>
    <col min="769" max="769" width="10.7109375" style="1" customWidth="1"/>
    <col min="770" max="770" width="10.5703125" style="1" customWidth="1"/>
    <col min="771" max="771" width="10.28515625" style="1" customWidth="1"/>
    <col min="772" max="772" width="13.28515625" style="1" customWidth="1"/>
    <col min="773" max="773" width="13.42578125" style="1" customWidth="1"/>
    <col min="774" max="774" width="54.42578125" style="1" customWidth="1"/>
    <col min="775" max="1024" width="9.140625" style="1"/>
    <col min="1025" max="1025" width="10.7109375" style="1" customWidth="1"/>
    <col min="1026" max="1026" width="10.5703125" style="1" customWidth="1"/>
    <col min="1027" max="1027" width="10.28515625" style="1" customWidth="1"/>
    <col min="1028" max="1028" width="13.28515625" style="1" customWidth="1"/>
    <col min="1029" max="1029" width="13.42578125" style="1" customWidth="1"/>
    <col min="1030" max="1030" width="54.42578125" style="1" customWidth="1"/>
    <col min="1031" max="1280" width="9.140625" style="1"/>
    <col min="1281" max="1281" width="10.7109375" style="1" customWidth="1"/>
    <col min="1282" max="1282" width="10.5703125" style="1" customWidth="1"/>
    <col min="1283" max="1283" width="10.28515625" style="1" customWidth="1"/>
    <col min="1284" max="1284" width="13.28515625" style="1" customWidth="1"/>
    <col min="1285" max="1285" width="13.42578125" style="1" customWidth="1"/>
    <col min="1286" max="1286" width="54.42578125" style="1" customWidth="1"/>
    <col min="1287" max="1536" width="9.140625" style="1"/>
    <col min="1537" max="1537" width="10.7109375" style="1" customWidth="1"/>
    <col min="1538" max="1538" width="10.5703125" style="1" customWidth="1"/>
    <col min="1539" max="1539" width="10.28515625" style="1" customWidth="1"/>
    <col min="1540" max="1540" width="13.28515625" style="1" customWidth="1"/>
    <col min="1541" max="1541" width="13.42578125" style="1" customWidth="1"/>
    <col min="1542" max="1542" width="54.42578125" style="1" customWidth="1"/>
    <col min="1543" max="1792" width="9.140625" style="1"/>
    <col min="1793" max="1793" width="10.7109375" style="1" customWidth="1"/>
    <col min="1794" max="1794" width="10.5703125" style="1" customWidth="1"/>
    <col min="1795" max="1795" width="10.28515625" style="1" customWidth="1"/>
    <col min="1796" max="1796" width="13.28515625" style="1" customWidth="1"/>
    <col min="1797" max="1797" width="13.42578125" style="1" customWidth="1"/>
    <col min="1798" max="1798" width="54.42578125" style="1" customWidth="1"/>
    <col min="1799" max="2048" width="9.140625" style="1"/>
    <col min="2049" max="2049" width="10.7109375" style="1" customWidth="1"/>
    <col min="2050" max="2050" width="10.5703125" style="1" customWidth="1"/>
    <col min="2051" max="2051" width="10.28515625" style="1" customWidth="1"/>
    <col min="2052" max="2052" width="13.28515625" style="1" customWidth="1"/>
    <col min="2053" max="2053" width="13.42578125" style="1" customWidth="1"/>
    <col min="2054" max="2054" width="54.42578125" style="1" customWidth="1"/>
    <col min="2055" max="2304" width="9.140625" style="1"/>
    <col min="2305" max="2305" width="10.7109375" style="1" customWidth="1"/>
    <col min="2306" max="2306" width="10.5703125" style="1" customWidth="1"/>
    <col min="2307" max="2307" width="10.28515625" style="1" customWidth="1"/>
    <col min="2308" max="2308" width="13.28515625" style="1" customWidth="1"/>
    <col min="2309" max="2309" width="13.42578125" style="1" customWidth="1"/>
    <col min="2310" max="2310" width="54.42578125" style="1" customWidth="1"/>
    <col min="2311" max="2560" width="9.140625" style="1"/>
    <col min="2561" max="2561" width="10.7109375" style="1" customWidth="1"/>
    <col min="2562" max="2562" width="10.5703125" style="1" customWidth="1"/>
    <col min="2563" max="2563" width="10.28515625" style="1" customWidth="1"/>
    <col min="2564" max="2564" width="13.28515625" style="1" customWidth="1"/>
    <col min="2565" max="2565" width="13.42578125" style="1" customWidth="1"/>
    <col min="2566" max="2566" width="54.42578125" style="1" customWidth="1"/>
    <col min="2567" max="2816" width="9.140625" style="1"/>
    <col min="2817" max="2817" width="10.7109375" style="1" customWidth="1"/>
    <col min="2818" max="2818" width="10.5703125" style="1" customWidth="1"/>
    <col min="2819" max="2819" width="10.28515625" style="1" customWidth="1"/>
    <col min="2820" max="2820" width="13.28515625" style="1" customWidth="1"/>
    <col min="2821" max="2821" width="13.42578125" style="1" customWidth="1"/>
    <col min="2822" max="2822" width="54.42578125" style="1" customWidth="1"/>
    <col min="2823" max="3072" width="9.140625" style="1"/>
    <col min="3073" max="3073" width="10.7109375" style="1" customWidth="1"/>
    <col min="3074" max="3074" width="10.5703125" style="1" customWidth="1"/>
    <col min="3075" max="3075" width="10.28515625" style="1" customWidth="1"/>
    <col min="3076" max="3076" width="13.28515625" style="1" customWidth="1"/>
    <col min="3077" max="3077" width="13.42578125" style="1" customWidth="1"/>
    <col min="3078" max="3078" width="54.42578125" style="1" customWidth="1"/>
    <col min="3079" max="3328" width="9.140625" style="1"/>
    <col min="3329" max="3329" width="10.7109375" style="1" customWidth="1"/>
    <col min="3330" max="3330" width="10.5703125" style="1" customWidth="1"/>
    <col min="3331" max="3331" width="10.28515625" style="1" customWidth="1"/>
    <col min="3332" max="3332" width="13.28515625" style="1" customWidth="1"/>
    <col min="3333" max="3333" width="13.42578125" style="1" customWidth="1"/>
    <col min="3334" max="3334" width="54.42578125" style="1" customWidth="1"/>
    <col min="3335" max="3584" width="9.140625" style="1"/>
    <col min="3585" max="3585" width="10.7109375" style="1" customWidth="1"/>
    <col min="3586" max="3586" width="10.5703125" style="1" customWidth="1"/>
    <col min="3587" max="3587" width="10.28515625" style="1" customWidth="1"/>
    <col min="3588" max="3588" width="13.28515625" style="1" customWidth="1"/>
    <col min="3589" max="3589" width="13.42578125" style="1" customWidth="1"/>
    <col min="3590" max="3590" width="54.42578125" style="1" customWidth="1"/>
    <col min="3591" max="3840" width="9.140625" style="1"/>
    <col min="3841" max="3841" width="10.7109375" style="1" customWidth="1"/>
    <col min="3842" max="3842" width="10.5703125" style="1" customWidth="1"/>
    <col min="3843" max="3843" width="10.28515625" style="1" customWidth="1"/>
    <col min="3844" max="3844" width="13.28515625" style="1" customWidth="1"/>
    <col min="3845" max="3845" width="13.42578125" style="1" customWidth="1"/>
    <col min="3846" max="3846" width="54.42578125" style="1" customWidth="1"/>
    <col min="3847" max="4096" width="9.140625" style="1"/>
    <col min="4097" max="4097" width="10.7109375" style="1" customWidth="1"/>
    <col min="4098" max="4098" width="10.5703125" style="1" customWidth="1"/>
    <col min="4099" max="4099" width="10.28515625" style="1" customWidth="1"/>
    <col min="4100" max="4100" width="13.28515625" style="1" customWidth="1"/>
    <col min="4101" max="4101" width="13.42578125" style="1" customWidth="1"/>
    <col min="4102" max="4102" width="54.42578125" style="1" customWidth="1"/>
    <col min="4103" max="4352" width="9.140625" style="1"/>
    <col min="4353" max="4353" width="10.7109375" style="1" customWidth="1"/>
    <col min="4354" max="4354" width="10.5703125" style="1" customWidth="1"/>
    <col min="4355" max="4355" width="10.28515625" style="1" customWidth="1"/>
    <col min="4356" max="4356" width="13.28515625" style="1" customWidth="1"/>
    <col min="4357" max="4357" width="13.42578125" style="1" customWidth="1"/>
    <col min="4358" max="4358" width="54.42578125" style="1" customWidth="1"/>
    <col min="4359" max="4608" width="9.140625" style="1"/>
    <col min="4609" max="4609" width="10.7109375" style="1" customWidth="1"/>
    <col min="4610" max="4610" width="10.5703125" style="1" customWidth="1"/>
    <col min="4611" max="4611" width="10.28515625" style="1" customWidth="1"/>
    <col min="4612" max="4612" width="13.28515625" style="1" customWidth="1"/>
    <col min="4613" max="4613" width="13.42578125" style="1" customWidth="1"/>
    <col min="4614" max="4614" width="54.42578125" style="1" customWidth="1"/>
    <col min="4615" max="4864" width="9.140625" style="1"/>
    <col min="4865" max="4865" width="10.7109375" style="1" customWidth="1"/>
    <col min="4866" max="4866" width="10.5703125" style="1" customWidth="1"/>
    <col min="4867" max="4867" width="10.28515625" style="1" customWidth="1"/>
    <col min="4868" max="4868" width="13.28515625" style="1" customWidth="1"/>
    <col min="4869" max="4869" width="13.42578125" style="1" customWidth="1"/>
    <col min="4870" max="4870" width="54.42578125" style="1" customWidth="1"/>
    <col min="4871" max="5120" width="9.140625" style="1"/>
    <col min="5121" max="5121" width="10.7109375" style="1" customWidth="1"/>
    <col min="5122" max="5122" width="10.5703125" style="1" customWidth="1"/>
    <col min="5123" max="5123" width="10.28515625" style="1" customWidth="1"/>
    <col min="5124" max="5124" width="13.28515625" style="1" customWidth="1"/>
    <col min="5125" max="5125" width="13.42578125" style="1" customWidth="1"/>
    <col min="5126" max="5126" width="54.42578125" style="1" customWidth="1"/>
    <col min="5127" max="5376" width="9.140625" style="1"/>
    <col min="5377" max="5377" width="10.7109375" style="1" customWidth="1"/>
    <col min="5378" max="5378" width="10.5703125" style="1" customWidth="1"/>
    <col min="5379" max="5379" width="10.28515625" style="1" customWidth="1"/>
    <col min="5380" max="5380" width="13.28515625" style="1" customWidth="1"/>
    <col min="5381" max="5381" width="13.42578125" style="1" customWidth="1"/>
    <col min="5382" max="5382" width="54.42578125" style="1" customWidth="1"/>
    <col min="5383" max="5632" width="9.140625" style="1"/>
    <col min="5633" max="5633" width="10.7109375" style="1" customWidth="1"/>
    <col min="5634" max="5634" width="10.5703125" style="1" customWidth="1"/>
    <col min="5635" max="5635" width="10.28515625" style="1" customWidth="1"/>
    <col min="5636" max="5636" width="13.28515625" style="1" customWidth="1"/>
    <col min="5637" max="5637" width="13.42578125" style="1" customWidth="1"/>
    <col min="5638" max="5638" width="54.42578125" style="1" customWidth="1"/>
    <col min="5639" max="5888" width="9.140625" style="1"/>
    <col min="5889" max="5889" width="10.7109375" style="1" customWidth="1"/>
    <col min="5890" max="5890" width="10.5703125" style="1" customWidth="1"/>
    <col min="5891" max="5891" width="10.28515625" style="1" customWidth="1"/>
    <col min="5892" max="5892" width="13.28515625" style="1" customWidth="1"/>
    <col min="5893" max="5893" width="13.42578125" style="1" customWidth="1"/>
    <col min="5894" max="5894" width="54.42578125" style="1" customWidth="1"/>
    <col min="5895" max="6144" width="9.140625" style="1"/>
    <col min="6145" max="6145" width="10.7109375" style="1" customWidth="1"/>
    <col min="6146" max="6146" width="10.5703125" style="1" customWidth="1"/>
    <col min="6147" max="6147" width="10.28515625" style="1" customWidth="1"/>
    <col min="6148" max="6148" width="13.28515625" style="1" customWidth="1"/>
    <col min="6149" max="6149" width="13.42578125" style="1" customWidth="1"/>
    <col min="6150" max="6150" width="54.42578125" style="1" customWidth="1"/>
    <col min="6151" max="6400" width="9.140625" style="1"/>
    <col min="6401" max="6401" width="10.7109375" style="1" customWidth="1"/>
    <col min="6402" max="6402" width="10.5703125" style="1" customWidth="1"/>
    <col min="6403" max="6403" width="10.28515625" style="1" customWidth="1"/>
    <col min="6404" max="6404" width="13.28515625" style="1" customWidth="1"/>
    <col min="6405" max="6405" width="13.42578125" style="1" customWidth="1"/>
    <col min="6406" max="6406" width="54.42578125" style="1" customWidth="1"/>
    <col min="6407" max="6656" width="9.140625" style="1"/>
    <col min="6657" max="6657" width="10.7109375" style="1" customWidth="1"/>
    <col min="6658" max="6658" width="10.5703125" style="1" customWidth="1"/>
    <col min="6659" max="6659" width="10.28515625" style="1" customWidth="1"/>
    <col min="6660" max="6660" width="13.28515625" style="1" customWidth="1"/>
    <col min="6661" max="6661" width="13.42578125" style="1" customWidth="1"/>
    <col min="6662" max="6662" width="54.42578125" style="1" customWidth="1"/>
    <col min="6663" max="6912" width="9.140625" style="1"/>
    <col min="6913" max="6913" width="10.7109375" style="1" customWidth="1"/>
    <col min="6914" max="6914" width="10.5703125" style="1" customWidth="1"/>
    <col min="6915" max="6915" width="10.28515625" style="1" customWidth="1"/>
    <col min="6916" max="6916" width="13.28515625" style="1" customWidth="1"/>
    <col min="6917" max="6917" width="13.42578125" style="1" customWidth="1"/>
    <col min="6918" max="6918" width="54.42578125" style="1" customWidth="1"/>
    <col min="6919" max="7168" width="9.140625" style="1"/>
    <col min="7169" max="7169" width="10.7109375" style="1" customWidth="1"/>
    <col min="7170" max="7170" width="10.5703125" style="1" customWidth="1"/>
    <col min="7171" max="7171" width="10.28515625" style="1" customWidth="1"/>
    <col min="7172" max="7172" width="13.28515625" style="1" customWidth="1"/>
    <col min="7173" max="7173" width="13.42578125" style="1" customWidth="1"/>
    <col min="7174" max="7174" width="54.42578125" style="1" customWidth="1"/>
    <col min="7175" max="7424" width="9.140625" style="1"/>
    <col min="7425" max="7425" width="10.7109375" style="1" customWidth="1"/>
    <col min="7426" max="7426" width="10.5703125" style="1" customWidth="1"/>
    <col min="7427" max="7427" width="10.28515625" style="1" customWidth="1"/>
    <col min="7428" max="7428" width="13.28515625" style="1" customWidth="1"/>
    <col min="7429" max="7429" width="13.42578125" style="1" customWidth="1"/>
    <col min="7430" max="7430" width="54.42578125" style="1" customWidth="1"/>
    <col min="7431" max="7680" width="9.140625" style="1"/>
    <col min="7681" max="7681" width="10.7109375" style="1" customWidth="1"/>
    <col min="7682" max="7682" width="10.5703125" style="1" customWidth="1"/>
    <col min="7683" max="7683" width="10.28515625" style="1" customWidth="1"/>
    <col min="7684" max="7684" width="13.28515625" style="1" customWidth="1"/>
    <col min="7685" max="7685" width="13.42578125" style="1" customWidth="1"/>
    <col min="7686" max="7686" width="54.42578125" style="1" customWidth="1"/>
    <col min="7687" max="7936" width="9.140625" style="1"/>
    <col min="7937" max="7937" width="10.7109375" style="1" customWidth="1"/>
    <col min="7938" max="7938" width="10.5703125" style="1" customWidth="1"/>
    <col min="7939" max="7939" width="10.28515625" style="1" customWidth="1"/>
    <col min="7940" max="7940" width="13.28515625" style="1" customWidth="1"/>
    <col min="7941" max="7941" width="13.42578125" style="1" customWidth="1"/>
    <col min="7942" max="7942" width="54.42578125" style="1" customWidth="1"/>
    <col min="7943" max="8192" width="9.140625" style="1"/>
    <col min="8193" max="8193" width="10.7109375" style="1" customWidth="1"/>
    <col min="8194" max="8194" width="10.5703125" style="1" customWidth="1"/>
    <col min="8195" max="8195" width="10.28515625" style="1" customWidth="1"/>
    <col min="8196" max="8196" width="13.28515625" style="1" customWidth="1"/>
    <col min="8197" max="8197" width="13.42578125" style="1" customWidth="1"/>
    <col min="8198" max="8198" width="54.42578125" style="1" customWidth="1"/>
    <col min="8199" max="8448" width="9.140625" style="1"/>
    <col min="8449" max="8449" width="10.7109375" style="1" customWidth="1"/>
    <col min="8450" max="8450" width="10.5703125" style="1" customWidth="1"/>
    <col min="8451" max="8451" width="10.28515625" style="1" customWidth="1"/>
    <col min="8452" max="8452" width="13.28515625" style="1" customWidth="1"/>
    <col min="8453" max="8453" width="13.42578125" style="1" customWidth="1"/>
    <col min="8454" max="8454" width="54.42578125" style="1" customWidth="1"/>
    <col min="8455" max="8704" width="9.140625" style="1"/>
    <col min="8705" max="8705" width="10.7109375" style="1" customWidth="1"/>
    <col min="8706" max="8706" width="10.5703125" style="1" customWidth="1"/>
    <col min="8707" max="8707" width="10.28515625" style="1" customWidth="1"/>
    <col min="8708" max="8708" width="13.28515625" style="1" customWidth="1"/>
    <col min="8709" max="8709" width="13.42578125" style="1" customWidth="1"/>
    <col min="8710" max="8710" width="54.42578125" style="1" customWidth="1"/>
    <col min="8711" max="8960" width="9.140625" style="1"/>
    <col min="8961" max="8961" width="10.7109375" style="1" customWidth="1"/>
    <col min="8962" max="8962" width="10.5703125" style="1" customWidth="1"/>
    <col min="8963" max="8963" width="10.28515625" style="1" customWidth="1"/>
    <col min="8964" max="8964" width="13.28515625" style="1" customWidth="1"/>
    <col min="8965" max="8965" width="13.42578125" style="1" customWidth="1"/>
    <col min="8966" max="8966" width="54.42578125" style="1" customWidth="1"/>
    <col min="8967" max="9216" width="9.140625" style="1"/>
    <col min="9217" max="9217" width="10.7109375" style="1" customWidth="1"/>
    <col min="9218" max="9218" width="10.5703125" style="1" customWidth="1"/>
    <col min="9219" max="9219" width="10.28515625" style="1" customWidth="1"/>
    <col min="9220" max="9220" width="13.28515625" style="1" customWidth="1"/>
    <col min="9221" max="9221" width="13.42578125" style="1" customWidth="1"/>
    <col min="9222" max="9222" width="54.42578125" style="1" customWidth="1"/>
    <col min="9223" max="9472" width="9.140625" style="1"/>
    <col min="9473" max="9473" width="10.7109375" style="1" customWidth="1"/>
    <col min="9474" max="9474" width="10.5703125" style="1" customWidth="1"/>
    <col min="9475" max="9475" width="10.28515625" style="1" customWidth="1"/>
    <col min="9476" max="9476" width="13.28515625" style="1" customWidth="1"/>
    <col min="9477" max="9477" width="13.42578125" style="1" customWidth="1"/>
    <col min="9478" max="9478" width="54.42578125" style="1" customWidth="1"/>
    <col min="9479" max="9728" width="9.140625" style="1"/>
    <col min="9729" max="9729" width="10.7109375" style="1" customWidth="1"/>
    <col min="9730" max="9730" width="10.5703125" style="1" customWidth="1"/>
    <col min="9731" max="9731" width="10.28515625" style="1" customWidth="1"/>
    <col min="9732" max="9732" width="13.28515625" style="1" customWidth="1"/>
    <col min="9733" max="9733" width="13.42578125" style="1" customWidth="1"/>
    <col min="9734" max="9734" width="54.42578125" style="1" customWidth="1"/>
    <col min="9735" max="9984" width="9.140625" style="1"/>
    <col min="9985" max="9985" width="10.7109375" style="1" customWidth="1"/>
    <col min="9986" max="9986" width="10.5703125" style="1" customWidth="1"/>
    <col min="9987" max="9987" width="10.28515625" style="1" customWidth="1"/>
    <col min="9988" max="9988" width="13.28515625" style="1" customWidth="1"/>
    <col min="9989" max="9989" width="13.42578125" style="1" customWidth="1"/>
    <col min="9990" max="9990" width="54.42578125" style="1" customWidth="1"/>
    <col min="9991" max="10240" width="9.140625" style="1"/>
    <col min="10241" max="10241" width="10.7109375" style="1" customWidth="1"/>
    <col min="10242" max="10242" width="10.5703125" style="1" customWidth="1"/>
    <col min="10243" max="10243" width="10.28515625" style="1" customWidth="1"/>
    <col min="10244" max="10244" width="13.28515625" style="1" customWidth="1"/>
    <col min="10245" max="10245" width="13.42578125" style="1" customWidth="1"/>
    <col min="10246" max="10246" width="54.42578125" style="1" customWidth="1"/>
    <col min="10247" max="10496" width="9.140625" style="1"/>
    <col min="10497" max="10497" width="10.7109375" style="1" customWidth="1"/>
    <col min="10498" max="10498" width="10.5703125" style="1" customWidth="1"/>
    <col min="10499" max="10499" width="10.28515625" style="1" customWidth="1"/>
    <col min="10500" max="10500" width="13.28515625" style="1" customWidth="1"/>
    <col min="10501" max="10501" width="13.42578125" style="1" customWidth="1"/>
    <col min="10502" max="10502" width="54.42578125" style="1" customWidth="1"/>
    <col min="10503" max="10752" width="9.140625" style="1"/>
    <col min="10753" max="10753" width="10.7109375" style="1" customWidth="1"/>
    <col min="10754" max="10754" width="10.5703125" style="1" customWidth="1"/>
    <col min="10755" max="10755" width="10.28515625" style="1" customWidth="1"/>
    <col min="10756" max="10756" width="13.28515625" style="1" customWidth="1"/>
    <col min="10757" max="10757" width="13.42578125" style="1" customWidth="1"/>
    <col min="10758" max="10758" width="54.42578125" style="1" customWidth="1"/>
    <col min="10759" max="11008" width="9.140625" style="1"/>
    <col min="11009" max="11009" width="10.7109375" style="1" customWidth="1"/>
    <col min="11010" max="11010" width="10.5703125" style="1" customWidth="1"/>
    <col min="11011" max="11011" width="10.28515625" style="1" customWidth="1"/>
    <col min="11012" max="11012" width="13.28515625" style="1" customWidth="1"/>
    <col min="11013" max="11013" width="13.42578125" style="1" customWidth="1"/>
    <col min="11014" max="11014" width="54.42578125" style="1" customWidth="1"/>
    <col min="11015" max="11264" width="9.140625" style="1"/>
    <col min="11265" max="11265" width="10.7109375" style="1" customWidth="1"/>
    <col min="11266" max="11266" width="10.5703125" style="1" customWidth="1"/>
    <col min="11267" max="11267" width="10.28515625" style="1" customWidth="1"/>
    <col min="11268" max="11268" width="13.28515625" style="1" customWidth="1"/>
    <col min="11269" max="11269" width="13.42578125" style="1" customWidth="1"/>
    <col min="11270" max="11270" width="54.42578125" style="1" customWidth="1"/>
    <col min="11271" max="11520" width="9.140625" style="1"/>
    <col min="11521" max="11521" width="10.7109375" style="1" customWidth="1"/>
    <col min="11522" max="11522" width="10.5703125" style="1" customWidth="1"/>
    <col min="11523" max="11523" width="10.28515625" style="1" customWidth="1"/>
    <col min="11524" max="11524" width="13.28515625" style="1" customWidth="1"/>
    <col min="11525" max="11525" width="13.42578125" style="1" customWidth="1"/>
    <col min="11526" max="11526" width="54.42578125" style="1" customWidth="1"/>
    <col min="11527" max="11776" width="9.140625" style="1"/>
    <col min="11777" max="11777" width="10.7109375" style="1" customWidth="1"/>
    <col min="11778" max="11778" width="10.5703125" style="1" customWidth="1"/>
    <col min="11779" max="11779" width="10.28515625" style="1" customWidth="1"/>
    <col min="11780" max="11780" width="13.28515625" style="1" customWidth="1"/>
    <col min="11781" max="11781" width="13.42578125" style="1" customWidth="1"/>
    <col min="11782" max="11782" width="54.42578125" style="1" customWidth="1"/>
    <col min="11783" max="12032" width="9.140625" style="1"/>
    <col min="12033" max="12033" width="10.7109375" style="1" customWidth="1"/>
    <col min="12034" max="12034" width="10.5703125" style="1" customWidth="1"/>
    <col min="12035" max="12035" width="10.28515625" style="1" customWidth="1"/>
    <col min="12036" max="12036" width="13.28515625" style="1" customWidth="1"/>
    <col min="12037" max="12037" width="13.42578125" style="1" customWidth="1"/>
    <col min="12038" max="12038" width="54.42578125" style="1" customWidth="1"/>
    <col min="12039" max="12288" width="9.140625" style="1"/>
    <col min="12289" max="12289" width="10.7109375" style="1" customWidth="1"/>
    <col min="12290" max="12290" width="10.5703125" style="1" customWidth="1"/>
    <col min="12291" max="12291" width="10.28515625" style="1" customWidth="1"/>
    <col min="12292" max="12292" width="13.28515625" style="1" customWidth="1"/>
    <col min="12293" max="12293" width="13.42578125" style="1" customWidth="1"/>
    <col min="12294" max="12294" width="54.42578125" style="1" customWidth="1"/>
    <col min="12295" max="12544" width="9.140625" style="1"/>
    <col min="12545" max="12545" width="10.7109375" style="1" customWidth="1"/>
    <col min="12546" max="12546" width="10.5703125" style="1" customWidth="1"/>
    <col min="12547" max="12547" width="10.28515625" style="1" customWidth="1"/>
    <col min="12548" max="12548" width="13.28515625" style="1" customWidth="1"/>
    <col min="12549" max="12549" width="13.42578125" style="1" customWidth="1"/>
    <col min="12550" max="12550" width="54.42578125" style="1" customWidth="1"/>
    <col min="12551" max="12800" width="9.140625" style="1"/>
    <col min="12801" max="12801" width="10.7109375" style="1" customWidth="1"/>
    <col min="12802" max="12802" width="10.5703125" style="1" customWidth="1"/>
    <col min="12803" max="12803" width="10.28515625" style="1" customWidth="1"/>
    <col min="12804" max="12804" width="13.28515625" style="1" customWidth="1"/>
    <col min="12805" max="12805" width="13.42578125" style="1" customWidth="1"/>
    <col min="12806" max="12806" width="54.42578125" style="1" customWidth="1"/>
    <col min="12807" max="13056" width="9.140625" style="1"/>
    <col min="13057" max="13057" width="10.7109375" style="1" customWidth="1"/>
    <col min="13058" max="13058" width="10.5703125" style="1" customWidth="1"/>
    <col min="13059" max="13059" width="10.28515625" style="1" customWidth="1"/>
    <col min="13060" max="13060" width="13.28515625" style="1" customWidth="1"/>
    <col min="13061" max="13061" width="13.42578125" style="1" customWidth="1"/>
    <col min="13062" max="13062" width="54.42578125" style="1" customWidth="1"/>
    <col min="13063" max="13312" width="9.140625" style="1"/>
    <col min="13313" max="13313" width="10.7109375" style="1" customWidth="1"/>
    <col min="13314" max="13314" width="10.5703125" style="1" customWidth="1"/>
    <col min="13315" max="13315" width="10.28515625" style="1" customWidth="1"/>
    <col min="13316" max="13316" width="13.28515625" style="1" customWidth="1"/>
    <col min="13317" max="13317" width="13.42578125" style="1" customWidth="1"/>
    <col min="13318" max="13318" width="54.42578125" style="1" customWidth="1"/>
    <col min="13319" max="13568" width="9.140625" style="1"/>
    <col min="13569" max="13569" width="10.7109375" style="1" customWidth="1"/>
    <col min="13570" max="13570" width="10.5703125" style="1" customWidth="1"/>
    <col min="13571" max="13571" width="10.28515625" style="1" customWidth="1"/>
    <col min="13572" max="13572" width="13.28515625" style="1" customWidth="1"/>
    <col min="13573" max="13573" width="13.42578125" style="1" customWidth="1"/>
    <col min="13574" max="13574" width="54.42578125" style="1" customWidth="1"/>
    <col min="13575" max="13824" width="9.140625" style="1"/>
    <col min="13825" max="13825" width="10.7109375" style="1" customWidth="1"/>
    <col min="13826" max="13826" width="10.5703125" style="1" customWidth="1"/>
    <col min="13827" max="13827" width="10.28515625" style="1" customWidth="1"/>
    <col min="13828" max="13828" width="13.28515625" style="1" customWidth="1"/>
    <col min="13829" max="13829" width="13.42578125" style="1" customWidth="1"/>
    <col min="13830" max="13830" width="54.42578125" style="1" customWidth="1"/>
    <col min="13831" max="14080" width="9.140625" style="1"/>
    <col min="14081" max="14081" width="10.7109375" style="1" customWidth="1"/>
    <col min="14082" max="14082" width="10.5703125" style="1" customWidth="1"/>
    <col min="14083" max="14083" width="10.28515625" style="1" customWidth="1"/>
    <col min="14084" max="14084" width="13.28515625" style="1" customWidth="1"/>
    <col min="14085" max="14085" width="13.42578125" style="1" customWidth="1"/>
    <col min="14086" max="14086" width="54.42578125" style="1" customWidth="1"/>
    <col min="14087" max="14336" width="9.140625" style="1"/>
    <col min="14337" max="14337" width="10.7109375" style="1" customWidth="1"/>
    <col min="14338" max="14338" width="10.5703125" style="1" customWidth="1"/>
    <col min="14339" max="14339" width="10.28515625" style="1" customWidth="1"/>
    <col min="14340" max="14340" width="13.28515625" style="1" customWidth="1"/>
    <col min="14341" max="14341" width="13.42578125" style="1" customWidth="1"/>
    <col min="14342" max="14342" width="54.42578125" style="1" customWidth="1"/>
    <col min="14343" max="14592" width="9.140625" style="1"/>
    <col min="14593" max="14593" width="10.7109375" style="1" customWidth="1"/>
    <col min="14594" max="14594" width="10.5703125" style="1" customWidth="1"/>
    <col min="14595" max="14595" width="10.28515625" style="1" customWidth="1"/>
    <col min="14596" max="14596" width="13.28515625" style="1" customWidth="1"/>
    <col min="14597" max="14597" width="13.42578125" style="1" customWidth="1"/>
    <col min="14598" max="14598" width="54.42578125" style="1" customWidth="1"/>
    <col min="14599" max="14848" width="9.140625" style="1"/>
    <col min="14849" max="14849" width="10.7109375" style="1" customWidth="1"/>
    <col min="14850" max="14850" width="10.5703125" style="1" customWidth="1"/>
    <col min="14851" max="14851" width="10.28515625" style="1" customWidth="1"/>
    <col min="14852" max="14852" width="13.28515625" style="1" customWidth="1"/>
    <col min="14853" max="14853" width="13.42578125" style="1" customWidth="1"/>
    <col min="14854" max="14854" width="54.42578125" style="1" customWidth="1"/>
    <col min="14855" max="15104" width="9.140625" style="1"/>
    <col min="15105" max="15105" width="10.7109375" style="1" customWidth="1"/>
    <col min="15106" max="15106" width="10.5703125" style="1" customWidth="1"/>
    <col min="15107" max="15107" width="10.28515625" style="1" customWidth="1"/>
    <col min="15108" max="15108" width="13.28515625" style="1" customWidth="1"/>
    <col min="15109" max="15109" width="13.42578125" style="1" customWidth="1"/>
    <col min="15110" max="15110" width="54.42578125" style="1" customWidth="1"/>
    <col min="15111" max="15360" width="9.140625" style="1"/>
    <col min="15361" max="15361" width="10.7109375" style="1" customWidth="1"/>
    <col min="15362" max="15362" width="10.5703125" style="1" customWidth="1"/>
    <col min="15363" max="15363" width="10.28515625" style="1" customWidth="1"/>
    <col min="15364" max="15364" width="13.28515625" style="1" customWidth="1"/>
    <col min="15365" max="15365" width="13.42578125" style="1" customWidth="1"/>
    <col min="15366" max="15366" width="54.42578125" style="1" customWidth="1"/>
    <col min="15367" max="15616" width="9.140625" style="1"/>
    <col min="15617" max="15617" width="10.7109375" style="1" customWidth="1"/>
    <col min="15618" max="15618" width="10.5703125" style="1" customWidth="1"/>
    <col min="15619" max="15619" width="10.28515625" style="1" customWidth="1"/>
    <col min="15620" max="15620" width="13.28515625" style="1" customWidth="1"/>
    <col min="15621" max="15621" width="13.42578125" style="1" customWidth="1"/>
    <col min="15622" max="15622" width="54.42578125" style="1" customWidth="1"/>
    <col min="15623" max="15872" width="9.140625" style="1"/>
    <col min="15873" max="15873" width="10.7109375" style="1" customWidth="1"/>
    <col min="15874" max="15874" width="10.5703125" style="1" customWidth="1"/>
    <col min="15875" max="15875" width="10.28515625" style="1" customWidth="1"/>
    <col min="15876" max="15876" width="13.28515625" style="1" customWidth="1"/>
    <col min="15877" max="15877" width="13.42578125" style="1" customWidth="1"/>
    <col min="15878" max="15878" width="54.42578125" style="1" customWidth="1"/>
    <col min="15879" max="16128" width="9.140625" style="1"/>
    <col min="16129" max="16129" width="10.7109375" style="1" customWidth="1"/>
    <col min="16130" max="16130" width="10.5703125" style="1" customWidth="1"/>
    <col min="16131" max="16131" width="10.28515625" style="1" customWidth="1"/>
    <col min="16132" max="16132" width="13.28515625" style="1" customWidth="1"/>
    <col min="16133" max="16133" width="13.42578125" style="1" customWidth="1"/>
    <col min="16134" max="16134" width="54.42578125" style="1" customWidth="1"/>
    <col min="16135" max="16384" width="9.140625" style="1"/>
  </cols>
  <sheetData>
    <row r="1" spans="1:6" ht="51" customHeight="1">
      <c r="A1" s="1688"/>
      <c r="B1" s="1688"/>
      <c r="C1" s="1688"/>
      <c r="D1" s="1689"/>
      <c r="E1" s="1624" t="s">
        <v>1118</v>
      </c>
      <c r="F1" s="1624"/>
    </row>
    <row r="2" spans="1:6" ht="45.75" customHeight="1">
      <c r="A2" s="1665" t="s">
        <v>64</v>
      </c>
      <c r="B2" s="1665"/>
      <c r="C2" s="1665"/>
      <c r="D2" s="1665"/>
      <c r="E2" s="1665"/>
      <c r="F2" s="1665"/>
    </row>
    <row r="3" spans="1:6" ht="13.5" thickBot="1">
      <c r="A3" s="39"/>
      <c r="B3" s="39"/>
      <c r="C3" s="39"/>
      <c r="D3" s="39"/>
      <c r="E3" s="33"/>
      <c r="F3" s="38" t="s">
        <v>59</v>
      </c>
    </row>
    <row r="4" spans="1:6" ht="50.25" customHeight="1" thickBot="1">
      <c r="A4" s="17" t="s">
        <v>0</v>
      </c>
      <c r="B4" s="17" t="s">
        <v>1</v>
      </c>
      <c r="C4" s="17" t="s">
        <v>5</v>
      </c>
      <c r="D4" s="37" t="s">
        <v>61</v>
      </c>
      <c r="E4" s="37" t="s">
        <v>63</v>
      </c>
      <c r="F4" s="17" t="s">
        <v>62</v>
      </c>
    </row>
    <row r="5" spans="1:6" ht="83.25" customHeight="1" thickBot="1">
      <c r="A5" s="43" t="s">
        <v>7</v>
      </c>
      <c r="B5" s="43" t="s">
        <v>8</v>
      </c>
      <c r="C5" s="42" t="s">
        <v>9</v>
      </c>
      <c r="D5" s="41">
        <v>58000000</v>
      </c>
      <c r="E5" s="41">
        <v>58000000</v>
      </c>
      <c r="F5" s="40" t="s">
        <v>109</v>
      </c>
    </row>
    <row r="6" spans="1:6" ht="36.75" customHeight="1" thickBot="1">
      <c r="A6" s="1673" t="s">
        <v>60</v>
      </c>
      <c r="B6" s="1673"/>
      <c r="C6" s="36"/>
      <c r="D6" s="34">
        <f>SUM(D5:D5)</f>
        <v>58000000</v>
      </c>
      <c r="E6" s="34">
        <f>SUM(E5:E5)</f>
        <v>58000000</v>
      </c>
      <c r="F6" s="35"/>
    </row>
    <row r="23" spans="5:5">
      <c r="E23" s="106"/>
    </row>
  </sheetData>
  <mergeCells count="4">
    <mergeCell ref="A1:D1"/>
    <mergeCell ref="E1:F1"/>
    <mergeCell ref="A2:F2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I28"/>
  <sheetViews>
    <sheetView view="pageBreakPreview" zoomScaleNormal="100" zoomScaleSheetLayoutView="100" workbookViewId="0">
      <selection activeCell="K2" sqref="K2"/>
    </sheetView>
  </sheetViews>
  <sheetFormatPr defaultRowHeight="12.75"/>
  <cols>
    <col min="1" max="1" width="7" style="1" customWidth="1"/>
    <col min="2" max="2" width="10.28515625" style="1" customWidth="1"/>
    <col min="3" max="3" width="24" style="1" customWidth="1"/>
    <col min="4" max="4" width="11" style="1" customWidth="1"/>
    <col min="5" max="5" width="13.42578125" style="1" customWidth="1"/>
    <col min="6" max="7" width="15.7109375" style="1" customWidth="1"/>
    <col min="8" max="8" width="16" style="1" customWidth="1"/>
    <col min="9" max="9" width="61.285156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1" spans="1:9" ht="63.75" customHeight="1">
      <c r="A1" s="39"/>
      <c r="B1" s="39"/>
      <c r="C1" s="45"/>
      <c r="D1" s="45"/>
      <c r="E1" s="44"/>
      <c r="F1" s="44"/>
      <c r="G1" s="44"/>
      <c r="H1" s="1624" t="s">
        <v>1119</v>
      </c>
      <c r="I1" s="1624"/>
    </row>
    <row r="2" spans="1:9" ht="50.25" customHeight="1">
      <c r="A2" s="1703" t="s">
        <v>121</v>
      </c>
      <c r="B2" s="1703"/>
      <c r="C2" s="1703"/>
      <c r="D2" s="1703"/>
      <c r="E2" s="1703"/>
      <c r="F2" s="1703"/>
      <c r="G2" s="1703"/>
      <c r="H2" s="1703"/>
      <c r="I2" s="1703"/>
    </row>
    <row r="3" spans="1:9" ht="15.75" thickBot="1">
      <c r="A3" s="7"/>
      <c r="B3" s="7"/>
      <c r="C3" s="7"/>
      <c r="D3" s="7"/>
      <c r="E3" s="7"/>
      <c r="F3" s="7"/>
      <c r="G3" s="7"/>
      <c r="H3" s="7"/>
      <c r="I3" s="6" t="s">
        <v>21</v>
      </c>
    </row>
    <row r="4" spans="1:9" ht="24.75" customHeight="1" thickBot="1">
      <c r="A4" s="1704" t="s">
        <v>0</v>
      </c>
      <c r="B4" s="1706" t="s">
        <v>1</v>
      </c>
      <c r="C4" s="1708" t="s">
        <v>68</v>
      </c>
      <c r="D4" s="1710" t="s">
        <v>5</v>
      </c>
      <c r="E4" s="1710" t="s">
        <v>60</v>
      </c>
      <c r="F4" s="1712" t="s">
        <v>58</v>
      </c>
      <c r="G4" s="1713"/>
      <c r="H4" s="1710" t="s">
        <v>67</v>
      </c>
      <c r="I4" s="1704" t="s">
        <v>66</v>
      </c>
    </row>
    <row r="5" spans="1:9" ht="15" customHeight="1" thickBot="1">
      <c r="A5" s="1704"/>
      <c r="B5" s="1706"/>
      <c r="C5" s="1708"/>
      <c r="D5" s="1710"/>
      <c r="E5" s="1710"/>
      <c r="F5" s="1714" t="s">
        <v>20</v>
      </c>
      <c r="G5" s="1714" t="s">
        <v>19</v>
      </c>
      <c r="H5" s="1710"/>
      <c r="I5" s="1704"/>
    </row>
    <row r="6" spans="1:9" ht="15" customHeight="1" thickBot="1">
      <c r="A6" s="1705"/>
      <c r="B6" s="1707"/>
      <c r="C6" s="1709"/>
      <c r="D6" s="1711"/>
      <c r="E6" s="1711"/>
      <c r="F6" s="1715"/>
      <c r="G6" s="1715"/>
      <c r="H6" s="1711"/>
      <c r="I6" s="1705"/>
    </row>
    <row r="7" spans="1:9" ht="32.25" customHeight="1">
      <c r="A7" s="1693" t="s">
        <v>7</v>
      </c>
      <c r="B7" s="1696" t="s">
        <v>151</v>
      </c>
      <c r="C7" s="1696"/>
      <c r="D7" s="182"/>
      <c r="E7" s="182">
        <f>SUM(E8:E10)</f>
        <v>3050000</v>
      </c>
      <c r="F7" s="182">
        <f>SUM(F8:F10)</f>
        <v>0</v>
      </c>
      <c r="G7" s="182">
        <f>SUM(G8:G10)</f>
        <v>3050000</v>
      </c>
      <c r="H7" s="183"/>
      <c r="I7" s="184"/>
    </row>
    <row r="8" spans="1:9" ht="92.25" customHeight="1">
      <c r="A8" s="1697"/>
      <c r="B8" s="1699" t="s">
        <v>127</v>
      </c>
      <c r="C8" s="1701" t="s">
        <v>201</v>
      </c>
      <c r="D8" s="1690">
        <v>6300</v>
      </c>
      <c r="E8" s="222">
        <f>SUM(F8:G8)</f>
        <v>600000</v>
      </c>
      <c r="F8" s="222"/>
      <c r="G8" s="222">
        <v>600000</v>
      </c>
      <c r="H8" s="181" t="s">
        <v>211</v>
      </c>
      <c r="I8" s="185" t="s">
        <v>212</v>
      </c>
    </row>
    <row r="9" spans="1:9" ht="92.25" customHeight="1">
      <c r="A9" s="1698"/>
      <c r="B9" s="1700"/>
      <c r="C9" s="1702"/>
      <c r="D9" s="1691"/>
      <c r="E9" s="233">
        <f>SUM(F9:G9)</f>
        <v>450000</v>
      </c>
      <c r="F9" s="225"/>
      <c r="G9" s="225">
        <v>450000</v>
      </c>
      <c r="H9" s="190" t="s">
        <v>210</v>
      </c>
      <c r="I9" s="191" t="s">
        <v>213</v>
      </c>
    </row>
    <row r="10" spans="1:9" ht="71.25" customHeight="1" thickBot="1">
      <c r="A10" s="1698"/>
      <c r="B10" s="223" t="s">
        <v>128</v>
      </c>
      <c r="C10" s="224" t="s">
        <v>129</v>
      </c>
      <c r="D10" s="189">
        <v>6300</v>
      </c>
      <c r="E10" s="225">
        <f>SUM(F10:G10)</f>
        <v>2000000</v>
      </c>
      <c r="F10" s="225"/>
      <c r="G10" s="225">
        <v>2000000</v>
      </c>
      <c r="H10" s="190" t="s">
        <v>208</v>
      </c>
      <c r="I10" s="191" t="s">
        <v>209</v>
      </c>
    </row>
    <row r="11" spans="1:9" ht="52.5" customHeight="1">
      <c r="A11" s="1693" t="s">
        <v>144</v>
      </c>
      <c r="B11" s="1692" t="s">
        <v>152</v>
      </c>
      <c r="C11" s="1692"/>
      <c r="D11" s="192"/>
      <c r="E11" s="193">
        <f>SUM(E12:E12)</f>
        <v>40000</v>
      </c>
      <c r="F11" s="193">
        <f>SUM(F12:F12)</f>
        <v>40000</v>
      </c>
      <c r="G11" s="193">
        <f>SUM(G12:G12)</f>
        <v>0</v>
      </c>
      <c r="H11" s="194"/>
      <c r="I11" s="195"/>
    </row>
    <row r="12" spans="1:9" ht="64.5" customHeight="1" thickBot="1">
      <c r="A12" s="1694"/>
      <c r="B12" s="226" t="s">
        <v>145</v>
      </c>
      <c r="C12" s="229" t="s">
        <v>146</v>
      </c>
      <c r="D12" s="186">
        <v>2710</v>
      </c>
      <c r="E12" s="228">
        <f>SUM(F12:G12)</f>
        <v>40000</v>
      </c>
      <c r="F12" s="228">
        <v>40000</v>
      </c>
      <c r="G12" s="228">
        <v>0</v>
      </c>
      <c r="H12" s="187" t="s">
        <v>154</v>
      </c>
      <c r="I12" s="188" t="s">
        <v>202</v>
      </c>
    </row>
    <row r="13" spans="1:9" ht="48" customHeight="1">
      <c r="A13" s="1693" t="s">
        <v>10</v>
      </c>
      <c r="B13" s="1692" t="s">
        <v>17</v>
      </c>
      <c r="C13" s="1692"/>
      <c r="D13" s="192"/>
      <c r="E13" s="193">
        <f>SUM(E14:E14)</f>
        <v>500000</v>
      </c>
      <c r="F13" s="193">
        <f>SUM(F14:F14)</f>
        <v>500000</v>
      </c>
      <c r="G13" s="193">
        <f>SUM(G14:G14)</f>
        <v>0</v>
      </c>
      <c r="H13" s="194"/>
      <c r="I13" s="195"/>
    </row>
    <row r="14" spans="1:9" ht="61.5" customHeight="1" thickBot="1">
      <c r="A14" s="1694"/>
      <c r="B14" s="226" t="s">
        <v>118</v>
      </c>
      <c r="C14" s="227" t="s">
        <v>120</v>
      </c>
      <c r="D14" s="186">
        <v>2710</v>
      </c>
      <c r="E14" s="228">
        <f>SUM(F14:G14)</f>
        <v>500000</v>
      </c>
      <c r="F14" s="228">
        <v>500000</v>
      </c>
      <c r="G14" s="228"/>
      <c r="H14" s="187" t="s">
        <v>119</v>
      </c>
      <c r="I14" s="188" t="s">
        <v>185</v>
      </c>
    </row>
    <row r="15" spans="1:9" ht="30" customHeight="1" thickBot="1">
      <c r="A15" s="1695" t="s">
        <v>65</v>
      </c>
      <c r="B15" s="1695"/>
      <c r="C15" s="1695"/>
      <c r="D15" s="220"/>
      <c r="E15" s="220">
        <f>SUM(E7,E11,E13)</f>
        <v>3590000</v>
      </c>
      <c r="F15" s="220">
        <f t="shared" ref="F15:G15" si="0">SUM(F7,F11,F13)</f>
        <v>540000</v>
      </c>
      <c r="G15" s="220">
        <f t="shared" si="0"/>
        <v>3050000</v>
      </c>
      <c r="H15" s="220"/>
      <c r="I15" s="221"/>
    </row>
    <row r="28" spans="4:4">
      <c r="D28" s="106"/>
    </row>
  </sheetData>
  <mergeCells count="22">
    <mergeCell ref="H1:I1"/>
    <mergeCell ref="A2:I2"/>
    <mergeCell ref="A4:A6"/>
    <mergeCell ref="B4:B6"/>
    <mergeCell ref="C4:C6"/>
    <mergeCell ref="E4:E6"/>
    <mergeCell ref="H4:H6"/>
    <mergeCell ref="I4:I6"/>
    <mergeCell ref="D4:D6"/>
    <mergeCell ref="F4:G4"/>
    <mergeCell ref="F5:F6"/>
    <mergeCell ref="G5:G6"/>
    <mergeCell ref="D8:D9"/>
    <mergeCell ref="B13:C13"/>
    <mergeCell ref="A13:A14"/>
    <mergeCell ref="A15:C15"/>
    <mergeCell ref="B7:C7"/>
    <mergeCell ref="B11:C11"/>
    <mergeCell ref="A11:A12"/>
    <mergeCell ref="A7:A10"/>
    <mergeCell ref="B8:B9"/>
    <mergeCell ref="C8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" manualBreakCount="1">
    <brk id="1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I23"/>
  <sheetViews>
    <sheetView view="pageBreakPreview" zoomScaleNormal="100" zoomScaleSheetLayoutView="100" workbookViewId="0">
      <selection activeCell="K2" sqref="K2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39"/>
      <c r="B1" s="39"/>
      <c r="C1" s="45" t="s">
        <v>72</v>
      </c>
      <c r="D1" s="45"/>
      <c r="E1" s="44"/>
      <c r="F1" s="44"/>
      <c r="G1" s="44"/>
      <c r="H1" s="1624" t="s">
        <v>1120</v>
      </c>
      <c r="I1" s="1624"/>
    </row>
    <row r="2" spans="1:9" ht="45" customHeight="1">
      <c r="A2" s="1703" t="s">
        <v>71</v>
      </c>
      <c r="B2" s="1703"/>
      <c r="C2" s="1703"/>
      <c r="D2" s="1703"/>
      <c r="E2" s="1703"/>
      <c r="F2" s="1703"/>
      <c r="G2" s="1703"/>
      <c r="H2" s="1703"/>
      <c r="I2" s="1703"/>
    </row>
    <row r="3" spans="1:9" ht="15.75" thickBot="1">
      <c r="A3" s="7"/>
      <c r="B3" s="7"/>
      <c r="C3" s="7"/>
      <c r="D3" s="7"/>
      <c r="E3" s="7"/>
      <c r="F3" s="7"/>
      <c r="G3" s="7"/>
      <c r="H3" s="7"/>
      <c r="I3" s="6" t="s">
        <v>21</v>
      </c>
    </row>
    <row r="4" spans="1:9" ht="15.75" thickBot="1">
      <c r="A4" s="1704" t="s">
        <v>0</v>
      </c>
      <c r="B4" s="1704" t="s">
        <v>1</v>
      </c>
      <c r="C4" s="1708" t="s">
        <v>68</v>
      </c>
      <c r="D4" s="1705" t="s">
        <v>5</v>
      </c>
      <c r="E4" s="1710" t="s">
        <v>22</v>
      </c>
      <c r="F4" s="1719" t="s">
        <v>58</v>
      </c>
      <c r="G4" s="1710"/>
      <c r="H4" s="1710" t="s">
        <v>67</v>
      </c>
      <c r="I4" s="1704" t="s">
        <v>66</v>
      </c>
    </row>
    <row r="5" spans="1:9" ht="15.75" customHeight="1" thickBot="1">
      <c r="A5" s="1704"/>
      <c r="B5" s="1704"/>
      <c r="C5" s="1708"/>
      <c r="D5" s="1720"/>
      <c r="E5" s="1710"/>
      <c r="F5" s="1719" t="s">
        <v>20</v>
      </c>
      <c r="G5" s="1710" t="s">
        <v>19</v>
      </c>
      <c r="H5" s="1710"/>
      <c r="I5" s="1704"/>
    </row>
    <row r="6" spans="1:9" ht="15.75" customHeight="1" thickBot="1">
      <c r="A6" s="1704"/>
      <c r="B6" s="1704"/>
      <c r="C6" s="1708"/>
      <c r="D6" s="1721"/>
      <c r="E6" s="1710"/>
      <c r="F6" s="1719"/>
      <c r="G6" s="1710"/>
      <c r="H6" s="1710"/>
      <c r="I6" s="1704"/>
    </row>
    <row r="7" spans="1:9" ht="33.75" customHeight="1">
      <c r="A7" s="1693" t="s">
        <v>4</v>
      </c>
      <c r="B7" s="1716" t="s">
        <v>18</v>
      </c>
      <c r="C7" s="1716"/>
      <c r="D7" s="1716"/>
      <c r="E7" s="193">
        <f>SUM(E8)</f>
        <v>287000</v>
      </c>
      <c r="F7" s="193">
        <f>SUM(F8)</f>
        <v>287000</v>
      </c>
      <c r="G7" s="193">
        <f>SUM(G8)</f>
        <v>0</v>
      </c>
      <c r="H7" s="230"/>
      <c r="I7" s="231"/>
    </row>
    <row r="8" spans="1:9" ht="106.5" customHeight="1" thickBot="1">
      <c r="A8" s="1694"/>
      <c r="B8" s="226" t="s">
        <v>3</v>
      </c>
      <c r="C8" s="227" t="s">
        <v>6</v>
      </c>
      <c r="D8" s="227" t="s">
        <v>13</v>
      </c>
      <c r="E8" s="232">
        <f>SUM(F8:G8)</f>
        <v>287000</v>
      </c>
      <c r="F8" s="228">
        <v>287000</v>
      </c>
      <c r="G8" s="228">
        <v>0</v>
      </c>
      <c r="H8" s="187" t="s">
        <v>70</v>
      </c>
      <c r="I8" s="188" t="s">
        <v>69</v>
      </c>
    </row>
    <row r="9" spans="1:9" ht="23.25" customHeight="1" thickBot="1">
      <c r="A9" s="1717" t="s">
        <v>65</v>
      </c>
      <c r="B9" s="1717"/>
      <c r="C9" s="1718"/>
      <c r="D9" s="49"/>
      <c r="E9" s="48">
        <f>SUM(E7)</f>
        <v>287000</v>
      </c>
      <c r="F9" s="48">
        <f>SUM(F7)</f>
        <v>287000</v>
      </c>
      <c r="G9" s="47">
        <f>SUM(G7)</f>
        <v>0</v>
      </c>
      <c r="H9" s="32"/>
      <c r="I9" s="46"/>
    </row>
    <row r="23" spans="5:5">
      <c r="E23" s="106"/>
    </row>
  </sheetData>
  <mergeCells count="15">
    <mergeCell ref="B7:D7"/>
    <mergeCell ref="G5:G6"/>
    <mergeCell ref="A7:A8"/>
    <mergeCell ref="A9:C9"/>
    <mergeCell ref="H1:I1"/>
    <mergeCell ref="A2:I2"/>
    <mergeCell ref="A4:A6"/>
    <mergeCell ref="B4:B6"/>
    <mergeCell ref="C4:C6"/>
    <mergeCell ref="E4:E6"/>
    <mergeCell ref="F4:G4"/>
    <mergeCell ref="H4:H6"/>
    <mergeCell ref="I4:I6"/>
    <mergeCell ref="F5:F6"/>
    <mergeCell ref="D4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29"/>
  <sheetViews>
    <sheetView view="pageBreakPreview" zoomScaleNormal="100" zoomScaleSheetLayoutView="100" workbookViewId="0">
      <selection activeCell="N2" sqref="N2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1684"/>
      <c r="B1" s="1684"/>
      <c r="C1" s="1685"/>
      <c r="D1" s="1684"/>
      <c r="E1" s="1684"/>
      <c r="F1" s="1684"/>
      <c r="G1" s="1741" t="s">
        <v>1121</v>
      </c>
      <c r="H1" s="1741"/>
      <c r="I1" s="1741"/>
      <c r="J1" s="1741"/>
      <c r="K1" s="1741"/>
    </row>
    <row r="2" spans="1:11" ht="59.25" customHeight="1">
      <c r="A2" s="1665" t="s">
        <v>83</v>
      </c>
      <c r="B2" s="1665"/>
      <c r="C2" s="1665"/>
      <c r="D2" s="1665"/>
      <c r="E2" s="1665"/>
      <c r="F2" s="1665"/>
      <c r="G2" s="1665"/>
      <c r="H2" s="1665"/>
      <c r="I2" s="1665"/>
      <c r="J2" s="1665"/>
      <c r="K2" s="1665"/>
    </row>
    <row r="3" spans="1:11" ht="19.5" customHeight="1">
      <c r="A3" s="1039"/>
      <c r="B3" s="1039"/>
      <c r="C3" s="1039"/>
      <c r="D3" s="1039"/>
      <c r="E3" s="1039"/>
      <c r="F3" s="1040"/>
      <c r="G3" s="1040"/>
      <c r="H3" s="1040"/>
      <c r="I3" s="1040"/>
      <c r="J3" s="1040"/>
      <c r="K3" s="60" t="s">
        <v>21</v>
      </c>
    </row>
    <row r="4" spans="1:11" ht="38.25" customHeight="1" thickBot="1">
      <c r="A4" s="1742" t="s">
        <v>82</v>
      </c>
      <c r="B4" s="1742"/>
      <c r="C4" s="1742"/>
      <c r="D4" s="1742"/>
      <c r="E4" s="1742"/>
      <c r="F4" s="1742"/>
      <c r="G4" s="1742"/>
      <c r="H4" s="1742"/>
      <c r="I4" s="1742"/>
      <c r="J4" s="1742"/>
      <c r="K4" s="1742"/>
    </row>
    <row r="5" spans="1:11" ht="23.25" customHeight="1" thickBot="1">
      <c r="A5" s="1038" t="s">
        <v>0</v>
      </c>
      <c r="B5" s="4" t="s">
        <v>81</v>
      </c>
      <c r="C5" s="1038" t="s">
        <v>5</v>
      </c>
      <c r="D5" s="1743" t="s">
        <v>68</v>
      </c>
      <c r="E5" s="1744"/>
      <c r="F5" s="1744"/>
      <c r="G5" s="1744"/>
      <c r="H5" s="1744"/>
      <c r="I5" s="1745"/>
      <c r="J5" s="1746" t="s">
        <v>80</v>
      </c>
      <c r="K5" s="1747"/>
    </row>
    <row r="6" spans="1:11" ht="14.1" customHeight="1">
      <c r="A6" s="1748">
        <v>855</v>
      </c>
      <c r="B6" s="1048"/>
      <c r="C6" s="1750" t="s">
        <v>263</v>
      </c>
      <c r="D6" s="1750"/>
      <c r="E6" s="1750"/>
      <c r="F6" s="1750"/>
      <c r="G6" s="1750"/>
      <c r="H6" s="1750"/>
      <c r="I6" s="1751"/>
      <c r="J6" s="1737">
        <v>3619649</v>
      </c>
      <c r="K6" s="1738"/>
    </row>
    <row r="7" spans="1:11" ht="14.1" customHeight="1">
      <c r="A7" s="1748"/>
      <c r="B7" s="1754">
        <v>85510</v>
      </c>
      <c r="C7" s="1752" t="s">
        <v>906</v>
      </c>
      <c r="D7" s="1752"/>
      <c r="E7" s="1752"/>
      <c r="F7" s="1752"/>
      <c r="G7" s="1752"/>
      <c r="H7" s="1752"/>
      <c r="I7" s="1752"/>
      <c r="J7" s="1739">
        <v>3619649</v>
      </c>
      <c r="K7" s="1740"/>
    </row>
    <row r="8" spans="1:11" ht="14.1" customHeight="1">
      <c r="A8" s="1749"/>
      <c r="B8" s="1755"/>
      <c r="C8" s="1047">
        <v>2320</v>
      </c>
      <c r="D8" s="1753"/>
      <c r="E8" s="1753"/>
      <c r="F8" s="1753"/>
      <c r="G8" s="1753"/>
      <c r="H8" s="1753"/>
      <c r="I8" s="1753"/>
      <c r="J8" s="1739">
        <v>3619649</v>
      </c>
      <c r="K8" s="1740"/>
    </row>
    <row r="9" spans="1:11" ht="15">
      <c r="A9" s="1756" t="s">
        <v>10</v>
      </c>
      <c r="B9" s="1759" t="s">
        <v>17</v>
      </c>
      <c r="C9" s="1759"/>
      <c r="D9" s="1759"/>
      <c r="E9" s="1759"/>
      <c r="F9" s="1759"/>
      <c r="G9" s="1759"/>
      <c r="H9" s="1759"/>
      <c r="I9" s="1759"/>
      <c r="J9" s="1760">
        <f>SUM(J10)</f>
        <v>3307016</v>
      </c>
      <c r="K9" s="1761"/>
    </row>
    <row r="10" spans="1:11" ht="14.25">
      <c r="A10" s="1757"/>
      <c r="B10" s="1762" t="s">
        <v>11</v>
      </c>
      <c r="C10" s="1764" t="s">
        <v>12</v>
      </c>
      <c r="D10" s="1764"/>
      <c r="E10" s="1764"/>
      <c r="F10" s="1764"/>
      <c r="G10" s="1764"/>
      <c r="H10" s="1764"/>
      <c r="I10" s="1764"/>
      <c r="J10" s="1765">
        <f>SUM(J11:K12)</f>
        <v>3307016</v>
      </c>
      <c r="K10" s="1766"/>
    </row>
    <row r="11" spans="1:11" ht="15">
      <c r="A11" s="1757"/>
      <c r="B11" s="1762"/>
      <c r="C11" s="1046">
        <v>2310</v>
      </c>
      <c r="D11" s="1767"/>
      <c r="E11" s="1767"/>
      <c r="F11" s="1767"/>
      <c r="G11" s="1767"/>
      <c r="H11" s="1767"/>
      <c r="I11" s="1767"/>
      <c r="J11" s="1768">
        <v>3234016</v>
      </c>
      <c r="K11" s="1769"/>
    </row>
    <row r="12" spans="1:11" ht="15.75" thickBot="1">
      <c r="A12" s="1758"/>
      <c r="B12" s="1763"/>
      <c r="C12" s="234">
        <v>2320</v>
      </c>
      <c r="D12" s="1770"/>
      <c r="E12" s="1770"/>
      <c r="F12" s="1770"/>
      <c r="G12" s="1770"/>
      <c r="H12" s="1770"/>
      <c r="I12" s="1770"/>
      <c r="J12" s="1771">
        <v>73000</v>
      </c>
      <c r="K12" s="1772"/>
    </row>
    <row r="13" spans="1:11" ht="16.5" thickBot="1">
      <c r="A13" s="1724" t="s">
        <v>16</v>
      </c>
      <c r="B13" s="1725"/>
      <c r="C13" s="1725"/>
      <c r="D13" s="1725"/>
      <c r="E13" s="1725"/>
      <c r="F13" s="1725"/>
      <c r="G13" s="1725"/>
      <c r="H13" s="1725"/>
      <c r="I13" s="1726"/>
      <c r="J13" s="1727">
        <f>J9+J6</f>
        <v>6926665</v>
      </c>
      <c r="K13" s="1728"/>
    </row>
    <row r="14" spans="1:11" ht="15.75">
      <c r="A14" s="59"/>
      <c r="B14" s="59"/>
      <c r="C14" s="58"/>
      <c r="D14" s="57"/>
      <c r="E14" s="57"/>
      <c r="F14" s="56"/>
      <c r="G14" s="55"/>
      <c r="H14" s="54"/>
      <c r="I14" s="54"/>
      <c r="J14" s="54"/>
      <c r="K14" s="54"/>
    </row>
    <row r="15" spans="1:11" ht="15">
      <c r="A15" s="53"/>
      <c r="B15" s="53"/>
      <c r="C15" s="51"/>
      <c r="D15" s="52"/>
      <c r="E15" s="52"/>
      <c r="F15" s="52"/>
      <c r="G15" s="52"/>
      <c r="H15" s="52"/>
      <c r="I15" s="52"/>
      <c r="J15" s="51"/>
      <c r="K15" s="50" t="s">
        <v>21</v>
      </c>
    </row>
    <row r="16" spans="1:11" ht="37.5" customHeight="1" thickBot="1">
      <c r="A16" s="1729" t="s">
        <v>79</v>
      </c>
      <c r="B16" s="1729"/>
      <c r="C16" s="1729"/>
      <c r="D16" s="1729"/>
      <c r="E16" s="1729"/>
      <c r="F16" s="1729"/>
      <c r="G16" s="1729"/>
      <c r="H16" s="1729"/>
      <c r="I16" s="1729"/>
      <c r="J16" s="1729"/>
      <c r="K16" s="1729"/>
    </row>
    <row r="17" spans="1:11" ht="15">
      <c r="A17" s="1730" t="s">
        <v>0</v>
      </c>
      <c r="B17" s="1730" t="s">
        <v>1</v>
      </c>
      <c r="C17" s="1730" t="s">
        <v>68</v>
      </c>
      <c r="D17" s="1730"/>
      <c r="E17" s="1732" t="s">
        <v>5</v>
      </c>
      <c r="F17" s="1722" t="s">
        <v>78</v>
      </c>
      <c r="G17" s="1722" t="s">
        <v>77</v>
      </c>
      <c r="H17" s="1734" t="s">
        <v>2</v>
      </c>
      <c r="I17" s="1735"/>
      <c r="J17" s="1736"/>
      <c r="K17" s="1722" t="s">
        <v>76</v>
      </c>
    </row>
    <row r="18" spans="1:11" ht="44.1" customHeight="1" thickBot="1">
      <c r="A18" s="1731"/>
      <c r="B18" s="1731"/>
      <c r="C18" s="1731"/>
      <c r="D18" s="1731"/>
      <c r="E18" s="1733"/>
      <c r="F18" s="1731"/>
      <c r="G18" s="1731"/>
      <c r="H18" s="1057" t="s">
        <v>75</v>
      </c>
      <c r="I18" s="1058" t="s">
        <v>14</v>
      </c>
      <c r="J18" s="1059" t="s">
        <v>74</v>
      </c>
      <c r="K18" s="1723"/>
    </row>
    <row r="19" spans="1:11" ht="15" customHeight="1">
      <c r="A19" s="1780">
        <v>855</v>
      </c>
      <c r="B19" s="1784" t="s">
        <v>263</v>
      </c>
      <c r="C19" s="1784"/>
      <c r="D19" s="1784"/>
      <c r="E19" s="1784"/>
      <c r="F19" s="1054">
        <f t="shared" ref="F19:K19" si="0">F20</f>
        <v>3619649</v>
      </c>
      <c r="G19" s="1054">
        <f t="shared" si="0"/>
        <v>3619649</v>
      </c>
      <c r="H19" s="1054">
        <f t="shared" si="0"/>
        <v>0</v>
      </c>
      <c r="I19" s="1054">
        <f t="shared" si="0"/>
        <v>3619649</v>
      </c>
      <c r="J19" s="1055">
        <f t="shared" si="0"/>
        <v>0</v>
      </c>
      <c r="K19" s="1056">
        <f t="shared" si="0"/>
        <v>0</v>
      </c>
    </row>
    <row r="20" spans="1:11" ht="63.75" customHeight="1">
      <c r="A20" s="1781"/>
      <c r="B20" s="1045">
        <v>85510</v>
      </c>
      <c r="C20" s="1752" t="s">
        <v>906</v>
      </c>
      <c r="D20" s="1774"/>
      <c r="E20" s="1045">
        <v>2360</v>
      </c>
      <c r="F20" s="1044">
        <f>G20+K20</f>
        <v>3619649</v>
      </c>
      <c r="G20" s="1044">
        <f>H20+I20+J20</f>
        <v>3619649</v>
      </c>
      <c r="H20" s="1043">
        <v>0</v>
      </c>
      <c r="I20" s="1043">
        <v>3619649</v>
      </c>
      <c r="J20" s="1042">
        <v>0</v>
      </c>
      <c r="K20" s="1049">
        <v>0</v>
      </c>
    </row>
    <row r="21" spans="1:11" ht="30" customHeight="1">
      <c r="A21" s="1779" t="s">
        <v>10</v>
      </c>
      <c r="B21" s="1773" t="s">
        <v>73</v>
      </c>
      <c r="C21" s="1773"/>
      <c r="D21" s="1773"/>
      <c r="E21" s="1773"/>
      <c r="F21" s="1041">
        <f t="shared" ref="F21:K21" si="1">F22+F23</f>
        <v>3307016</v>
      </c>
      <c r="G21" s="1041">
        <f t="shared" si="1"/>
        <v>3307016</v>
      </c>
      <c r="H21" s="1041">
        <f t="shared" si="1"/>
        <v>0</v>
      </c>
      <c r="I21" s="1041">
        <f t="shared" si="1"/>
        <v>3307016</v>
      </c>
      <c r="J21" s="1041">
        <f t="shared" si="1"/>
        <v>0</v>
      </c>
      <c r="K21" s="1050">
        <f t="shared" si="1"/>
        <v>0</v>
      </c>
    </row>
    <row r="22" spans="1:11" ht="21" customHeight="1">
      <c r="A22" s="1779"/>
      <c r="B22" s="1777" t="s">
        <v>11</v>
      </c>
      <c r="C22" s="1782" t="s">
        <v>12</v>
      </c>
      <c r="D22" s="1782"/>
      <c r="E22" s="1051">
        <v>2480</v>
      </c>
      <c r="F22" s="1052">
        <f>G22+K22</f>
        <v>3234016</v>
      </c>
      <c r="G22" s="1052">
        <f>H22+I22+J22</f>
        <v>3234016</v>
      </c>
      <c r="H22" s="1052">
        <v>0</v>
      </c>
      <c r="I22" s="1052">
        <v>3234016</v>
      </c>
      <c r="J22" s="1052">
        <v>0</v>
      </c>
      <c r="K22" s="1053">
        <v>0</v>
      </c>
    </row>
    <row r="23" spans="1:11" ht="21" customHeight="1" thickBot="1">
      <c r="A23" s="1779"/>
      <c r="B23" s="1778"/>
      <c r="C23" s="1783"/>
      <c r="D23" s="1783"/>
      <c r="E23" s="1051">
        <v>2800</v>
      </c>
      <c r="F23" s="1052">
        <f>G23+K23</f>
        <v>73000</v>
      </c>
      <c r="G23" s="1052">
        <f>H23+I23+J23</f>
        <v>73000</v>
      </c>
      <c r="H23" s="1052">
        <v>0</v>
      </c>
      <c r="I23" s="1052">
        <v>73000</v>
      </c>
      <c r="J23" s="1052">
        <v>0</v>
      </c>
      <c r="K23" s="1053">
        <v>0</v>
      </c>
    </row>
    <row r="24" spans="1:11" ht="22.5" customHeight="1" thickBot="1">
      <c r="A24" s="1775" t="s">
        <v>65</v>
      </c>
      <c r="B24" s="1776"/>
      <c r="C24" s="1776"/>
      <c r="D24" s="1776"/>
      <c r="E24" s="1776"/>
      <c r="F24" s="34">
        <f t="shared" ref="F24:K24" si="2">F21+F19</f>
        <v>6926665</v>
      </c>
      <c r="G24" s="34">
        <f t="shared" si="2"/>
        <v>6926665</v>
      </c>
      <c r="H24" s="34">
        <f t="shared" si="2"/>
        <v>0</v>
      </c>
      <c r="I24" s="34">
        <f t="shared" si="2"/>
        <v>6926665</v>
      </c>
      <c r="J24" s="34">
        <f t="shared" si="2"/>
        <v>0</v>
      </c>
      <c r="K24" s="34">
        <f t="shared" si="2"/>
        <v>0</v>
      </c>
    </row>
    <row r="29" spans="1:11">
      <c r="E29" s="106"/>
    </row>
  </sheetData>
  <mergeCells count="43">
    <mergeCell ref="B21:E21"/>
    <mergeCell ref="C20:D20"/>
    <mergeCell ref="A24:E24"/>
    <mergeCell ref="B22:B23"/>
    <mergeCell ref="A21:A23"/>
    <mergeCell ref="A19:A20"/>
    <mergeCell ref="C22:D23"/>
    <mergeCell ref="B19:E19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J6:K6"/>
    <mergeCell ref="J7:K7"/>
    <mergeCell ref="J8:K8"/>
    <mergeCell ref="A1:F1"/>
    <mergeCell ref="G1:K1"/>
    <mergeCell ref="A2:K2"/>
    <mergeCell ref="A4:K4"/>
    <mergeCell ref="D5:I5"/>
    <mergeCell ref="J5:K5"/>
    <mergeCell ref="A6:A8"/>
    <mergeCell ref="C6:I6"/>
    <mergeCell ref="C7:I7"/>
    <mergeCell ref="D8:I8"/>
    <mergeCell ref="B7:B8"/>
    <mergeCell ref="K17:K18"/>
    <mergeCell ref="A13:I13"/>
    <mergeCell ref="J13:K13"/>
    <mergeCell ref="A16:K16"/>
    <mergeCell ref="A17:A18"/>
    <mergeCell ref="B17:B18"/>
    <mergeCell ref="C17:D18"/>
    <mergeCell ref="E17:E18"/>
    <mergeCell ref="F17:F18"/>
    <mergeCell ref="G17:G18"/>
    <mergeCell ref="H17:J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J19"/>
  <sheetViews>
    <sheetView view="pageBreakPreview" zoomScaleSheetLayoutView="100" workbookViewId="0">
      <selection activeCell="H3" sqref="H3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4" customHeight="1">
      <c r="A1" s="1794"/>
      <c r="B1" s="1794"/>
      <c r="C1" s="8"/>
      <c r="D1" s="8"/>
      <c r="E1" s="8"/>
      <c r="F1" s="8"/>
      <c r="G1" s="276" t="s">
        <v>1122</v>
      </c>
    </row>
    <row r="2" spans="1:10">
      <c r="A2" s="106"/>
      <c r="B2" s="106"/>
      <c r="C2" s="106"/>
      <c r="D2" s="106"/>
      <c r="E2" s="106"/>
      <c r="F2" s="106"/>
      <c r="G2" s="106"/>
    </row>
    <row r="3" spans="1:10" ht="46.5" customHeight="1">
      <c r="A3" s="1703" t="s">
        <v>561</v>
      </c>
      <c r="B3" s="1703"/>
      <c r="C3" s="1703"/>
      <c r="D3" s="1703"/>
      <c r="E3" s="1703"/>
      <c r="F3" s="1703"/>
      <c r="G3" s="1703"/>
    </row>
    <row r="4" spans="1:10" ht="15">
      <c r="A4" s="274"/>
      <c r="B4" s="274"/>
      <c r="C4" s="274"/>
      <c r="D4" s="274"/>
      <c r="E4" s="274"/>
      <c r="F4" s="274"/>
      <c r="G4" s="6" t="s">
        <v>21</v>
      </c>
    </row>
    <row r="5" spans="1:10" s="456" customFormat="1" ht="20.100000000000001" customHeight="1" thickBot="1">
      <c r="A5" s="1795" t="s">
        <v>562</v>
      </c>
      <c r="B5" s="1795"/>
      <c r="C5" s="1795"/>
      <c r="D5" s="1795"/>
      <c r="E5" s="1795"/>
      <c r="F5" s="1795"/>
      <c r="G5" s="1795"/>
      <c r="H5" s="454"/>
      <c r="I5" s="455"/>
      <c r="J5" s="455"/>
    </row>
    <row r="6" spans="1:10" s="179" customFormat="1" ht="20.100000000000001" customHeight="1">
      <c r="A6" s="1796" t="s">
        <v>0</v>
      </c>
      <c r="B6" s="1798" t="s">
        <v>1</v>
      </c>
      <c r="C6" s="1798" t="s">
        <v>5</v>
      </c>
      <c r="D6" s="1800" t="s">
        <v>563</v>
      </c>
      <c r="E6" s="1798" t="s">
        <v>2</v>
      </c>
      <c r="F6" s="1798"/>
      <c r="G6" s="1802" t="s">
        <v>156</v>
      </c>
      <c r="H6" s="457"/>
      <c r="I6" s="458"/>
      <c r="J6" s="458"/>
    </row>
    <row r="7" spans="1:10" s="179" customFormat="1" ht="20.100000000000001" customHeight="1">
      <c r="A7" s="1797"/>
      <c r="B7" s="1799"/>
      <c r="C7" s="1799"/>
      <c r="D7" s="1801"/>
      <c r="E7" s="292" t="s">
        <v>20</v>
      </c>
      <c r="F7" s="292" t="s">
        <v>19</v>
      </c>
      <c r="G7" s="1803"/>
      <c r="H7" s="457"/>
      <c r="I7" s="458"/>
      <c r="J7" s="458"/>
    </row>
    <row r="8" spans="1:10" s="369" customFormat="1" ht="38.25">
      <c r="A8" s="459">
        <v>801</v>
      </c>
      <c r="B8" s="284">
        <v>80195</v>
      </c>
      <c r="C8" s="284">
        <v>2001</v>
      </c>
      <c r="D8" s="460">
        <f>SUM(E8:F8)</f>
        <v>29409</v>
      </c>
      <c r="E8" s="461">
        <v>29409</v>
      </c>
      <c r="F8" s="460">
        <v>0</v>
      </c>
      <c r="G8" s="462" t="s">
        <v>564</v>
      </c>
      <c r="H8" s="457"/>
      <c r="I8" s="463"/>
      <c r="J8" s="463"/>
    </row>
    <row r="9" spans="1:10" ht="30" customHeight="1" thickBot="1">
      <c r="A9" s="1788" t="s">
        <v>22</v>
      </c>
      <c r="B9" s="1789"/>
      <c r="C9" s="1789"/>
      <c r="D9" s="464">
        <f>SUM(D8:D8)</f>
        <v>29409</v>
      </c>
      <c r="E9" s="464">
        <f>SUM(E8:E8)</f>
        <v>29409</v>
      </c>
      <c r="F9" s="464">
        <f>SUM(F8:F8)</f>
        <v>0</v>
      </c>
      <c r="G9" s="465"/>
    </row>
    <row r="10" spans="1:10" s="345" customFormat="1" ht="20.100000000000001" customHeight="1">
      <c r="A10" s="1790"/>
      <c r="B10" s="1790"/>
      <c r="C10" s="1790"/>
      <c r="D10" s="1790"/>
      <c r="E10" s="1790"/>
      <c r="F10" s="1790"/>
      <c r="G10" s="1790"/>
    </row>
    <row r="11" spans="1:10" s="431" customFormat="1" ht="20.100000000000001" customHeight="1">
      <c r="A11" s="1791"/>
      <c r="B11" s="1791"/>
      <c r="C11" s="1791"/>
      <c r="D11" s="1791"/>
      <c r="E11" s="1791"/>
      <c r="F11" s="1791"/>
      <c r="G11" s="1791"/>
    </row>
    <row r="12" spans="1:10" ht="20.100000000000001" customHeight="1">
      <c r="A12" s="1792"/>
      <c r="B12" s="1792"/>
      <c r="C12" s="1792"/>
      <c r="D12" s="1793"/>
      <c r="E12" s="1792"/>
      <c r="F12" s="1792"/>
      <c r="G12" s="1793"/>
    </row>
    <row r="13" spans="1:10" ht="20.100000000000001" customHeight="1">
      <c r="A13" s="1792"/>
      <c r="B13" s="1792"/>
      <c r="C13" s="1792"/>
      <c r="D13" s="1793"/>
      <c r="E13" s="466"/>
      <c r="F13" s="466"/>
      <c r="G13" s="1793"/>
    </row>
    <row r="14" spans="1:10" s="431" customFormat="1" ht="45" customHeight="1">
      <c r="A14" s="1785"/>
      <c r="B14" s="1785"/>
      <c r="C14" s="467"/>
      <c r="D14" s="468"/>
      <c r="E14" s="469"/>
      <c r="F14" s="468"/>
      <c r="G14" s="1786"/>
    </row>
    <row r="15" spans="1:10" s="106" customFormat="1" ht="45" customHeight="1">
      <c r="A15" s="1785"/>
      <c r="B15" s="1785"/>
      <c r="C15" s="467"/>
      <c r="D15" s="468"/>
      <c r="E15" s="468"/>
      <c r="F15" s="469"/>
      <c r="G15" s="1786"/>
    </row>
    <row r="16" spans="1:10" ht="20.100000000000001" customHeight="1">
      <c r="A16" s="1787"/>
      <c r="B16" s="1787"/>
      <c r="C16" s="1787"/>
      <c r="D16" s="470"/>
      <c r="E16" s="470"/>
      <c r="F16" s="470"/>
      <c r="G16" s="471"/>
    </row>
    <row r="17" spans="1:7">
      <c r="A17" s="472"/>
      <c r="B17" s="472"/>
      <c r="C17" s="472"/>
      <c r="D17" s="472"/>
      <c r="E17" s="472"/>
      <c r="F17" s="472"/>
      <c r="G17" s="472"/>
    </row>
    <row r="18" spans="1:7">
      <c r="A18" s="472"/>
      <c r="B18" s="472"/>
      <c r="C18" s="472"/>
      <c r="D18" s="473"/>
      <c r="E18" s="473"/>
      <c r="F18" s="473"/>
      <c r="G18" s="472"/>
    </row>
    <row r="19" spans="1:7">
      <c r="A19" s="472"/>
      <c r="B19" s="472"/>
      <c r="C19" s="472"/>
      <c r="D19" s="472"/>
      <c r="E19" s="472"/>
      <c r="F19" s="472"/>
      <c r="G19" s="472"/>
    </row>
  </sheetData>
  <mergeCells count="22"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14:A15"/>
    <mergeCell ref="B14:B15"/>
    <mergeCell ref="G14:G15"/>
    <mergeCell ref="A16:C16"/>
    <mergeCell ref="A9:C9"/>
    <mergeCell ref="A10:G10"/>
    <mergeCell ref="A11:G11"/>
    <mergeCell ref="A12:A13"/>
    <mergeCell ref="B12:B13"/>
    <mergeCell ref="C12:C13"/>
    <mergeCell ref="D12:D13"/>
    <mergeCell ref="E12:F12"/>
    <mergeCell ref="G12:G13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17"/>
  <sheetViews>
    <sheetView view="pageBreakPreview" zoomScaleSheetLayoutView="100" workbookViewId="0">
      <selection activeCell="G1" sqref="G1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50.1" customHeight="1">
      <c r="A1" s="1804"/>
      <c r="B1" s="1804"/>
      <c r="C1" s="302"/>
      <c r="D1" s="302"/>
      <c r="E1" s="302"/>
      <c r="F1" s="302"/>
      <c r="G1" s="276" t="s">
        <v>1123</v>
      </c>
    </row>
    <row r="2" spans="1:11" ht="30" customHeight="1">
      <c r="A2" s="1703" t="s">
        <v>565</v>
      </c>
      <c r="B2" s="1703"/>
      <c r="C2" s="1703"/>
      <c r="D2" s="1703"/>
      <c r="E2" s="1703"/>
      <c r="F2" s="1703"/>
      <c r="G2" s="1703"/>
    </row>
    <row r="3" spans="1:11" ht="15">
      <c r="A3" s="274"/>
      <c r="B3" s="274"/>
      <c r="C3" s="274"/>
      <c r="D3" s="274"/>
      <c r="E3" s="274"/>
      <c r="F3" s="274"/>
      <c r="G3" s="6" t="s">
        <v>21</v>
      </c>
    </row>
    <row r="4" spans="1:11" ht="20.100000000000001" customHeight="1" thickBot="1">
      <c r="A4" s="1795" t="s">
        <v>562</v>
      </c>
      <c r="B4" s="1795"/>
      <c r="C4" s="1795"/>
      <c r="D4" s="1795"/>
      <c r="E4" s="1795"/>
      <c r="F4" s="1795"/>
      <c r="G4" s="1795"/>
      <c r="H4" s="474"/>
      <c r="I4" s="474"/>
      <c r="J4" s="474"/>
      <c r="K4" s="475"/>
    </row>
    <row r="5" spans="1:11" ht="20.100000000000001" customHeight="1">
      <c r="A5" s="1796" t="s">
        <v>0</v>
      </c>
      <c r="B5" s="1798" t="s">
        <v>1</v>
      </c>
      <c r="C5" s="1798" t="s">
        <v>5</v>
      </c>
      <c r="D5" s="1800" t="s">
        <v>563</v>
      </c>
      <c r="E5" s="1798" t="s">
        <v>2</v>
      </c>
      <c r="F5" s="1798"/>
      <c r="G5" s="1802" t="s">
        <v>156</v>
      </c>
      <c r="H5" s="475"/>
      <c r="I5" s="475"/>
      <c r="J5" s="2"/>
    </row>
    <row r="6" spans="1:11" ht="20.100000000000001" customHeight="1">
      <c r="A6" s="1797"/>
      <c r="B6" s="1799"/>
      <c r="C6" s="1799"/>
      <c r="D6" s="1801"/>
      <c r="E6" s="292" t="s">
        <v>20</v>
      </c>
      <c r="F6" s="292" t="s">
        <v>19</v>
      </c>
      <c r="G6" s="1803"/>
      <c r="H6" s="475"/>
      <c r="I6" s="475"/>
      <c r="J6" s="2"/>
    </row>
    <row r="7" spans="1:11" s="106" customFormat="1" ht="30" customHeight="1">
      <c r="A7" s="459">
        <v>853</v>
      </c>
      <c r="B7" s="284">
        <v>85395</v>
      </c>
      <c r="C7" s="284">
        <v>2009</v>
      </c>
      <c r="D7" s="460">
        <f t="shared" ref="D7" si="0">SUM(E7:F7)</f>
        <v>821000</v>
      </c>
      <c r="E7" s="476">
        <v>821000</v>
      </c>
      <c r="F7" s="460">
        <v>0</v>
      </c>
      <c r="G7" s="477" t="s">
        <v>566</v>
      </c>
      <c r="H7" s="371"/>
      <c r="I7" s="371"/>
      <c r="J7" s="371"/>
    </row>
    <row r="8" spans="1:11" ht="30" customHeight="1" thickBot="1">
      <c r="A8" s="1788" t="s">
        <v>22</v>
      </c>
      <c r="B8" s="1789"/>
      <c r="C8" s="1789"/>
      <c r="D8" s="464">
        <f>SUM(D7:D7)</f>
        <v>821000</v>
      </c>
      <c r="E8" s="464">
        <f>SUM(E7:E7)</f>
        <v>821000</v>
      </c>
      <c r="F8" s="464">
        <f>SUM(F7:F7)</f>
        <v>0</v>
      </c>
      <c r="G8" s="465"/>
      <c r="H8" s="478"/>
      <c r="I8" s="2"/>
      <c r="J8" s="2"/>
    </row>
    <row r="9" spans="1:11">
      <c r="A9" s="479"/>
      <c r="B9" s="480"/>
      <c r="C9" s="473"/>
      <c r="D9" s="473"/>
      <c r="E9" s="473"/>
      <c r="F9" s="473"/>
      <c r="G9" s="481"/>
      <c r="H9" s="478"/>
      <c r="I9" s="2"/>
      <c r="J9" s="2"/>
    </row>
    <row r="10" spans="1:11">
      <c r="A10" s="479"/>
      <c r="B10" s="480"/>
      <c r="C10" s="473"/>
      <c r="D10" s="482"/>
      <c r="E10" s="482"/>
      <c r="F10" s="482"/>
      <c r="G10" s="483"/>
      <c r="H10" s="478"/>
      <c r="I10" s="2"/>
      <c r="J10" s="2"/>
    </row>
    <row r="11" spans="1:11">
      <c r="A11" s="484"/>
      <c r="B11" s="480"/>
      <c r="C11" s="473"/>
      <c r="D11" s="473"/>
      <c r="E11" s="473"/>
      <c r="F11" s="473"/>
      <c r="G11" s="485"/>
      <c r="H11" s="478"/>
      <c r="I11" s="2"/>
      <c r="J11" s="2"/>
    </row>
    <row r="12" spans="1:11">
      <c r="A12" s="484"/>
      <c r="B12" s="480"/>
      <c r="C12" s="473"/>
      <c r="D12" s="473"/>
      <c r="E12" s="472"/>
      <c r="F12" s="336"/>
      <c r="G12" s="485"/>
      <c r="H12" s="478"/>
      <c r="I12" s="2"/>
      <c r="J12" s="2"/>
    </row>
    <row r="13" spans="1:11">
      <c r="A13" s="484"/>
      <c r="B13" s="480"/>
      <c r="C13" s="473"/>
      <c r="D13" s="473"/>
      <c r="E13" s="473"/>
      <c r="F13" s="473"/>
      <c r="G13" s="485"/>
      <c r="H13" s="478"/>
      <c r="I13" s="2"/>
      <c r="J13" s="2"/>
    </row>
    <row r="14" spans="1:11" s="431" customFormat="1">
      <c r="A14" s="486"/>
      <c r="B14" s="480"/>
      <c r="C14" s="487"/>
      <c r="D14" s="487"/>
      <c r="E14" s="472"/>
      <c r="F14" s="485"/>
      <c r="G14" s="380"/>
      <c r="H14" s="488"/>
      <c r="I14" s="489"/>
      <c r="J14" s="489"/>
    </row>
    <row r="15" spans="1:11">
      <c r="A15" s="472"/>
      <c r="B15" s="472"/>
      <c r="C15" s="472"/>
      <c r="D15" s="490"/>
      <c r="E15" s="473"/>
      <c r="F15" s="473"/>
      <c r="G15" s="472"/>
      <c r="H15" s="5"/>
      <c r="I15" s="5"/>
    </row>
    <row r="16" spans="1:11">
      <c r="G16" s="5"/>
      <c r="H16" s="5"/>
      <c r="I16" s="5"/>
    </row>
    <row r="17" spans="5:6">
      <c r="E17" s="2"/>
      <c r="F17" s="2"/>
    </row>
  </sheetData>
  <mergeCells count="10">
    <mergeCell ref="A8:C8"/>
    <mergeCell ref="A1:B1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J14"/>
  <sheetViews>
    <sheetView view="pageBreakPreview" zoomScaleSheetLayoutView="100" workbookViewId="0">
      <selection activeCell="H2" sqref="H2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s="106" customFormat="1" ht="48.75" customHeight="1">
      <c r="A1" s="277"/>
      <c r="B1" s="277"/>
      <c r="C1" s="277"/>
      <c r="D1" s="277"/>
      <c r="E1" s="277"/>
      <c r="F1" s="277"/>
      <c r="G1" s="276" t="s">
        <v>1124</v>
      </c>
    </row>
    <row r="2" spans="1:10" s="106" customFormat="1" ht="40.5" customHeight="1">
      <c r="A2" s="1703" t="s">
        <v>567</v>
      </c>
      <c r="B2" s="1703"/>
      <c r="C2" s="1703"/>
      <c r="D2" s="1703"/>
      <c r="E2" s="1703"/>
      <c r="F2" s="1703"/>
      <c r="G2" s="1703"/>
    </row>
    <row r="3" spans="1:10" ht="13.5" customHeight="1">
      <c r="A3" s="274"/>
      <c r="B3" s="274"/>
      <c r="C3" s="274"/>
      <c r="D3" s="274"/>
      <c r="E3" s="274"/>
      <c r="F3" s="274"/>
      <c r="G3" s="6" t="s">
        <v>21</v>
      </c>
    </row>
    <row r="4" spans="1:10" s="456" customFormat="1" ht="20.100000000000001" customHeight="1" thickBot="1">
      <c r="A4" s="1795" t="s">
        <v>562</v>
      </c>
      <c r="B4" s="1795"/>
      <c r="C4" s="1795"/>
      <c r="D4" s="1795"/>
      <c r="E4" s="1795"/>
      <c r="F4" s="1795"/>
      <c r="G4" s="1795"/>
    </row>
    <row r="5" spans="1:10" ht="20.100000000000001" customHeight="1">
      <c r="A5" s="1809" t="s">
        <v>0</v>
      </c>
      <c r="B5" s="1811" t="s">
        <v>1</v>
      </c>
      <c r="C5" s="1811" t="s">
        <v>5</v>
      </c>
      <c r="D5" s="1800" t="s">
        <v>563</v>
      </c>
      <c r="E5" s="1798" t="s">
        <v>2</v>
      </c>
      <c r="F5" s="1798"/>
      <c r="G5" s="1813" t="s">
        <v>156</v>
      </c>
    </row>
    <row r="6" spans="1:10" ht="20.100000000000001" customHeight="1">
      <c r="A6" s="1810"/>
      <c r="B6" s="1812"/>
      <c r="C6" s="1812"/>
      <c r="D6" s="1801"/>
      <c r="E6" s="292" t="s">
        <v>20</v>
      </c>
      <c r="F6" s="292" t="s">
        <v>19</v>
      </c>
      <c r="G6" s="1814"/>
    </row>
    <row r="7" spans="1:10" s="349" customFormat="1" ht="39.950000000000003" customHeight="1">
      <c r="A7" s="491">
        <v>150</v>
      </c>
      <c r="B7" s="492">
        <v>15011</v>
      </c>
      <c r="C7" s="492">
        <v>6209</v>
      </c>
      <c r="D7" s="493">
        <f t="shared" ref="D7" si="0">SUM(E7:F7)</f>
        <v>12271</v>
      </c>
      <c r="E7" s="494">
        <v>0</v>
      </c>
      <c r="F7" s="494">
        <v>12271</v>
      </c>
      <c r="G7" s="495" t="s">
        <v>568</v>
      </c>
    </row>
    <row r="8" spans="1:10" ht="30" customHeight="1" thickBot="1">
      <c r="A8" s="1805" t="s">
        <v>22</v>
      </c>
      <c r="B8" s="1806"/>
      <c r="C8" s="1807"/>
      <c r="D8" s="496">
        <f>SUM(D7:D7)</f>
        <v>12271</v>
      </c>
      <c r="E8" s="496">
        <f>SUM(E7:E7)</f>
        <v>0</v>
      </c>
      <c r="F8" s="496">
        <f>SUM(F7:F7)</f>
        <v>12271</v>
      </c>
      <c r="G8" s="465"/>
      <c r="H8" s="497"/>
      <c r="I8" s="2"/>
      <c r="J8" s="2"/>
    </row>
    <row r="9" spans="1:10">
      <c r="A9" s="1808"/>
      <c r="B9" s="1808"/>
      <c r="C9" s="1808"/>
      <c r="D9" s="1808"/>
      <c r="E9" s="1808"/>
      <c r="F9" s="1808"/>
      <c r="G9" s="1808"/>
      <c r="H9" s="497"/>
      <c r="I9" s="2"/>
      <c r="J9" s="2"/>
    </row>
    <row r="10" spans="1:10">
      <c r="B10" s="374"/>
      <c r="C10" s="498"/>
      <c r="D10" s="2"/>
      <c r="E10" s="2"/>
      <c r="F10" s="2"/>
    </row>
    <row r="11" spans="1:10">
      <c r="C11" s="499"/>
      <c r="D11" s="2"/>
      <c r="E11" s="2"/>
      <c r="F11" s="2"/>
    </row>
    <row r="12" spans="1:10">
      <c r="C12" s="2"/>
      <c r="D12" s="2"/>
      <c r="E12" s="2"/>
      <c r="F12" s="2"/>
    </row>
    <row r="13" spans="1:10">
      <c r="C13" s="2"/>
      <c r="D13" s="2"/>
      <c r="E13" s="2"/>
      <c r="F13" s="2"/>
    </row>
    <row r="14" spans="1:10">
      <c r="C14" s="2"/>
    </row>
  </sheetData>
  <mergeCells count="10">
    <mergeCell ref="A8:C8"/>
    <mergeCell ref="A9:G9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K36"/>
  <sheetViews>
    <sheetView view="pageBreakPreview" zoomScaleSheetLayoutView="100" workbookViewId="0">
      <selection activeCell="G1" sqref="G1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48.75" customHeight="1">
      <c r="A1" s="277"/>
      <c r="B1" s="277"/>
      <c r="C1" s="277"/>
      <c r="D1" s="277"/>
      <c r="E1" s="277"/>
      <c r="F1" s="277"/>
      <c r="G1" s="276" t="s">
        <v>1125</v>
      </c>
    </row>
    <row r="2" spans="1:10" ht="40.5" customHeight="1">
      <c r="A2" s="1703" t="s">
        <v>569</v>
      </c>
      <c r="B2" s="1703"/>
      <c r="C2" s="1703"/>
      <c r="D2" s="1703"/>
      <c r="E2" s="1703"/>
      <c r="F2" s="1703"/>
      <c r="G2" s="1703"/>
    </row>
    <row r="3" spans="1:10" ht="13.5" customHeight="1">
      <c r="A3" s="274"/>
      <c r="B3" s="274"/>
      <c r="C3" s="274"/>
      <c r="D3" s="274"/>
      <c r="E3" s="274"/>
      <c r="F3" s="274"/>
      <c r="G3" s="6" t="s">
        <v>21</v>
      </c>
    </row>
    <row r="4" spans="1:10" s="456" customFormat="1" ht="20.100000000000001" customHeight="1" thickBot="1">
      <c r="A4" s="1795" t="s">
        <v>24</v>
      </c>
      <c r="B4" s="1795"/>
      <c r="C4" s="1795"/>
      <c r="D4" s="1795"/>
      <c r="E4" s="1795"/>
      <c r="F4" s="1795"/>
      <c r="G4" s="1795"/>
    </row>
    <row r="5" spans="1:10" ht="20.100000000000001" customHeight="1">
      <c r="A5" s="1809" t="s">
        <v>0</v>
      </c>
      <c r="B5" s="1811" t="s">
        <v>1</v>
      </c>
      <c r="C5" s="1811" t="s">
        <v>5</v>
      </c>
      <c r="D5" s="1800" t="s">
        <v>563</v>
      </c>
      <c r="E5" s="1798" t="s">
        <v>2</v>
      </c>
      <c r="F5" s="1798"/>
      <c r="G5" s="1813" t="s">
        <v>156</v>
      </c>
    </row>
    <row r="6" spans="1:10" ht="20.100000000000001" customHeight="1">
      <c r="A6" s="1810"/>
      <c r="B6" s="1812"/>
      <c r="C6" s="1812"/>
      <c r="D6" s="1801"/>
      <c r="E6" s="292" t="s">
        <v>20</v>
      </c>
      <c r="F6" s="292" t="s">
        <v>19</v>
      </c>
      <c r="G6" s="1814"/>
    </row>
    <row r="7" spans="1:10" s="501" customFormat="1" ht="15" customHeight="1">
      <c r="A7" s="1826">
        <v>150</v>
      </c>
      <c r="B7" s="1830">
        <v>15011</v>
      </c>
      <c r="C7" s="500">
        <v>6209</v>
      </c>
      <c r="D7" s="493">
        <f t="shared" ref="D7:D18" si="0">SUM(E7:F7)</f>
        <v>8500000</v>
      </c>
      <c r="E7" s="494">
        <v>0</v>
      </c>
      <c r="F7" s="494">
        <v>8500000</v>
      </c>
      <c r="G7" s="1832" t="s">
        <v>570</v>
      </c>
    </row>
    <row r="8" spans="1:10" s="501" customFormat="1" ht="15" customHeight="1">
      <c r="A8" s="1826"/>
      <c r="B8" s="1830"/>
      <c r="C8" s="502">
        <v>6259</v>
      </c>
      <c r="D8" s="493">
        <f t="shared" si="0"/>
        <v>1000000</v>
      </c>
      <c r="E8" s="494">
        <v>0</v>
      </c>
      <c r="F8" s="494">
        <v>1000000</v>
      </c>
      <c r="G8" s="1833"/>
    </row>
    <row r="9" spans="1:10" s="501" customFormat="1" ht="20.100000000000001" customHeight="1">
      <c r="A9" s="1834">
        <v>720</v>
      </c>
      <c r="B9" s="1835">
        <v>72095</v>
      </c>
      <c r="C9" s="500">
        <v>2057</v>
      </c>
      <c r="D9" s="503">
        <f t="shared" si="0"/>
        <v>4907303</v>
      </c>
      <c r="E9" s="504">
        <v>4907303</v>
      </c>
      <c r="F9" s="504">
        <v>0</v>
      </c>
      <c r="G9" s="1821" t="s">
        <v>571</v>
      </c>
    </row>
    <row r="10" spans="1:10" s="501" customFormat="1" ht="20.100000000000001" customHeight="1">
      <c r="A10" s="1834"/>
      <c r="B10" s="1835"/>
      <c r="C10" s="500">
        <v>6257</v>
      </c>
      <c r="D10" s="503">
        <f t="shared" si="0"/>
        <v>81659804</v>
      </c>
      <c r="E10" s="504">
        <v>0</v>
      </c>
      <c r="F10" s="504">
        <v>81659804</v>
      </c>
      <c r="G10" s="1821"/>
    </row>
    <row r="11" spans="1:10" s="501" customFormat="1" ht="15" customHeight="1">
      <c r="A11" s="1825">
        <v>801</v>
      </c>
      <c r="B11" s="1828">
        <v>80146</v>
      </c>
      <c r="C11" s="505">
        <v>2057</v>
      </c>
      <c r="D11" s="503">
        <f t="shared" si="0"/>
        <v>811761</v>
      </c>
      <c r="E11" s="506">
        <v>811761</v>
      </c>
      <c r="F11" s="506">
        <v>0</v>
      </c>
      <c r="G11" s="1821" t="s">
        <v>572</v>
      </c>
    </row>
    <row r="12" spans="1:10" s="501" customFormat="1" ht="15" customHeight="1">
      <c r="A12" s="1826"/>
      <c r="B12" s="1829"/>
      <c r="C12" s="505">
        <v>2059</v>
      </c>
      <c r="D12" s="503">
        <f t="shared" si="0"/>
        <v>47679</v>
      </c>
      <c r="E12" s="506">
        <v>47679</v>
      </c>
      <c r="F12" s="506">
        <v>0</v>
      </c>
      <c r="G12" s="1821"/>
    </row>
    <row r="13" spans="1:10" s="501" customFormat="1" ht="15" customHeight="1">
      <c r="A13" s="1826"/>
      <c r="B13" s="1830">
        <v>80195</v>
      </c>
      <c r="C13" s="505">
        <v>2059</v>
      </c>
      <c r="D13" s="503">
        <f t="shared" si="0"/>
        <v>4868597</v>
      </c>
      <c r="E13" s="506">
        <v>4868597</v>
      </c>
      <c r="F13" s="506">
        <v>0</v>
      </c>
      <c r="G13" s="1831" t="s">
        <v>570</v>
      </c>
    </row>
    <row r="14" spans="1:10" s="501" customFormat="1" ht="15" customHeight="1">
      <c r="A14" s="1827"/>
      <c r="B14" s="1829"/>
      <c r="C14" s="500">
        <v>6259</v>
      </c>
      <c r="D14" s="503">
        <f t="shared" si="0"/>
        <v>63000</v>
      </c>
      <c r="E14" s="504">
        <v>0</v>
      </c>
      <c r="F14" s="504">
        <v>63000</v>
      </c>
      <c r="G14" s="1832"/>
    </row>
    <row r="15" spans="1:10" s="336" customFormat="1" ht="15" customHeight="1">
      <c r="A15" s="1815">
        <v>851</v>
      </c>
      <c r="B15" s="1818">
        <v>85195</v>
      </c>
      <c r="C15" s="284">
        <v>2059</v>
      </c>
      <c r="D15" s="460">
        <f t="shared" si="0"/>
        <v>325000</v>
      </c>
      <c r="E15" s="460">
        <v>325000</v>
      </c>
      <c r="F15" s="461">
        <v>0</v>
      </c>
      <c r="G15" s="1832"/>
      <c r="H15" s="386"/>
      <c r="I15" s="368"/>
      <c r="J15" s="368"/>
    </row>
    <row r="16" spans="1:10" s="336" customFormat="1" ht="15" customHeight="1">
      <c r="A16" s="1817"/>
      <c r="B16" s="1820"/>
      <c r="C16" s="284">
        <v>6259</v>
      </c>
      <c r="D16" s="460">
        <f t="shared" si="0"/>
        <v>100000</v>
      </c>
      <c r="E16" s="460">
        <v>0</v>
      </c>
      <c r="F16" s="461">
        <v>100000</v>
      </c>
      <c r="G16" s="1832"/>
      <c r="H16" s="386"/>
      <c r="I16" s="368"/>
      <c r="J16" s="368"/>
    </row>
    <row r="17" spans="1:11" s="336" customFormat="1" ht="15" customHeight="1">
      <c r="A17" s="459">
        <v>852</v>
      </c>
      <c r="B17" s="284">
        <v>85295</v>
      </c>
      <c r="C17" s="284">
        <v>2059</v>
      </c>
      <c r="D17" s="460">
        <f t="shared" si="0"/>
        <v>4963939</v>
      </c>
      <c r="E17" s="460">
        <v>4963939</v>
      </c>
      <c r="F17" s="461">
        <v>0</v>
      </c>
      <c r="G17" s="1832"/>
      <c r="H17" s="386"/>
      <c r="I17" s="368"/>
      <c r="J17" s="368"/>
    </row>
    <row r="18" spans="1:11" s="336" customFormat="1" ht="15" customHeight="1">
      <c r="A18" s="459">
        <v>853</v>
      </c>
      <c r="B18" s="507">
        <v>85395</v>
      </c>
      <c r="C18" s="284">
        <v>2059</v>
      </c>
      <c r="D18" s="460">
        <f t="shared" si="0"/>
        <v>267084</v>
      </c>
      <c r="E18" s="460">
        <v>267084</v>
      </c>
      <c r="F18" s="461">
        <v>0</v>
      </c>
      <c r="G18" s="1833"/>
      <c r="H18" s="386"/>
      <c r="I18" s="368"/>
      <c r="J18" s="368"/>
    </row>
    <row r="19" spans="1:11" ht="24.95" customHeight="1" thickBot="1">
      <c r="A19" s="1805" t="s">
        <v>22</v>
      </c>
      <c r="B19" s="1806"/>
      <c r="C19" s="1807"/>
      <c r="D19" s="496">
        <f>SUM(D7:D18)</f>
        <v>107514167</v>
      </c>
      <c r="E19" s="496">
        <f t="shared" ref="E19:F19" si="1">SUM(E7:E18)</f>
        <v>16191363</v>
      </c>
      <c r="F19" s="496">
        <f t="shared" si="1"/>
        <v>91322804</v>
      </c>
      <c r="G19" s="465"/>
      <c r="H19" s="497"/>
      <c r="I19" s="2"/>
      <c r="J19" s="2"/>
    </row>
    <row r="20" spans="1:11">
      <c r="A20" s="1808"/>
      <c r="B20" s="1808"/>
      <c r="C20" s="1808"/>
      <c r="D20" s="1808"/>
      <c r="E20" s="1808"/>
      <c r="F20" s="1808"/>
      <c r="G20" s="1808"/>
      <c r="H20" s="497"/>
      <c r="I20" s="2"/>
      <c r="J20" s="2"/>
    </row>
    <row r="21" spans="1:11" ht="18" customHeight="1" thickBot="1">
      <c r="A21" s="1795" t="s">
        <v>23</v>
      </c>
      <c r="B21" s="1795"/>
      <c r="C21" s="1795"/>
      <c r="D21" s="1795"/>
      <c r="E21" s="1795"/>
      <c r="F21" s="1795"/>
      <c r="G21" s="1795"/>
      <c r="H21" s="497"/>
      <c r="I21" s="2"/>
      <c r="J21" s="2"/>
      <c r="K21" s="508"/>
    </row>
    <row r="22" spans="1:11" ht="20.100000000000001" customHeight="1">
      <c r="A22" s="1809" t="s">
        <v>0</v>
      </c>
      <c r="B22" s="1811" t="s">
        <v>1</v>
      </c>
      <c r="C22" s="1811" t="s">
        <v>5</v>
      </c>
      <c r="D22" s="1800" t="s">
        <v>563</v>
      </c>
      <c r="E22" s="1798" t="s">
        <v>2</v>
      </c>
      <c r="F22" s="1798"/>
      <c r="G22" s="1813" t="s">
        <v>156</v>
      </c>
      <c r="H22" s="497"/>
      <c r="I22" s="2"/>
      <c r="J22" s="2"/>
    </row>
    <row r="23" spans="1:11" ht="20.100000000000001" customHeight="1">
      <c r="A23" s="1810"/>
      <c r="B23" s="1812"/>
      <c r="C23" s="1812"/>
      <c r="D23" s="1801"/>
      <c r="E23" s="292" t="s">
        <v>20</v>
      </c>
      <c r="F23" s="292" t="s">
        <v>19</v>
      </c>
      <c r="G23" s="1814"/>
      <c r="H23" s="2"/>
      <c r="I23" s="2"/>
      <c r="J23" s="2"/>
    </row>
    <row r="24" spans="1:11" s="336" customFormat="1" ht="25.5">
      <c r="A24" s="1815">
        <v>150</v>
      </c>
      <c r="B24" s="1818">
        <v>15011</v>
      </c>
      <c r="C24" s="284">
        <v>2009</v>
      </c>
      <c r="D24" s="460">
        <f>SUM(E24:F24)</f>
        <v>3960635</v>
      </c>
      <c r="E24" s="461">
        <v>3960635</v>
      </c>
      <c r="F24" s="509">
        <v>0</v>
      </c>
      <c r="G24" s="510" t="s">
        <v>570</v>
      </c>
      <c r="H24" s="368"/>
      <c r="I24" s="368"/>
      <c r="J24" s="368"/>
    </row>
    <row r="25" spans="1:11" s="336" customFormat="1" ht="20.100000000000001" customHeight="1">
      <c r="A25" s="1816"/>
      <c r="B25" s="1819"/>
      <c r="C25" s="507">
        <v>2007</v>
      </c>
      <c r="D25" s="460">
        <f t="shared" ref="D25:D26" si="2">SUM(E25:F25)</f>
        <v>8000000</v>
      </c>
      <c r="E25" s="461">
        <v>8000000</v>
      </c>
      <c r="F25" s="509">
        <v>0</v>
      </c>
      <c r="G25" s="1821" t="s">
        <v>573</v>
      </c>
      <c r="H25" s="368"/>
      <c r="I25" s="368"/>
      <c r="J25" s="368"/>
    </row>
    <row r="26" spans="1:11" s="336" customFormat="1" ht="20.100000000000001" customHeight="1">
      <c r="A26" s="1817"/>
      <c r="B26" s="1820"/>
      <c r="C26" s="507">
        <v>6207</v>
      </c>
      <c r="D26" s="460">
        <f t="shared" si="2"/>
        <v>500000</v>
      </c>
      <c r="E26" s="461">
        <v>0</v>
      </c>
      <c r="F26" s="509">
        <v>500000</v>
      </c>
      <c r="G26" s="1821"/>
      <c r="H26" s="368"/>
      <c r="I26" s="368"/>
      <c r="J26" s="368"/>
    </row>
    <row r="27" spans="1:11" s="336" customFormat="1" ht="15" customHeight="1">
      <c r="A27" s="459">
        <v>801</v>
      </c>
      <c r="B27" s="284">
        <v>80195</v>
      </c>
      <c r="C27" s="507">
        <v>2009</v>
      </c>
      <c r="D27" s="511">
        <f>SUM(E27:F27)</f>
        <v>2275002</v>
      </c>
      <c r="E27" s="460">
        <v>2275002</v>
      </c>
      <c r="F27" s="461">
        <v>0</v>
      </c>
      <c r="G27" s="1822" t="s">
        <v>570</v>
      </c>
      <c r="H27" s="368"/>
      <c r="I27" s="368"/>
      <c r="J27" s="368"/>
    </row>
    <row r="28" spans="1:11" s="336" customFormat="1" ht="15" customHeight="1">
      <c r="A28" s="459">
        <v>851</v>
      </c>
      <c r="B28" s="284">
        <v>85195</v>
      </c>
      <c r="C28" s="507">
        <v>2009</v>
      </c>
      <c r="D28" s="511">
        <f t="shared" ref="D28:D29" si="3">SUM(E28:F28)</f>
        <v>325000</v>
      </c>
      <c r="E28" s="460">
        <v>325000</v>
      </c>
      <c r="F28" s="461">
        <v>0</v>
      </c>
      <c r="G28" s="1823"/>
      <c r="H28" s="368"/>
      <c r="I28" s="368"/>
      <c r="J28" s="368"/>
    </row>
    <row r="29" spans="1:11" s="336" customFormat="1" ht="15" customHeight="1">
      <c r="A29" s="459">
        <v>852</v>
      </c>
      <c r="B29" s="284">
        <v>85295</v>
      </c>
      <c r="C29" s="507">
        <v>2009</v>
      </c>
      <c r="D29" s="511">
        <f t="shared" si="3"/>
        <v>11270908</v>
      </c>
      <c r="E29" s="460">
        <v>11270908</v>
      </c>
      <c r="F29" s="461">
        <v>0</v>
      </c>
      <c r="G29" s="1823"/>
      <c r="H29" s="368"/>
      <c r="I29" s="368"/>
      <c r="J29" s="368"/>
    </row>
    <row r="30" spans="1:11" s="336" customFormat="1" ht="15" customHeight="1">
      <c r="A30" s="459">
        <v>853</v>
      </c>
      <c r="B30" s="284">
        <v>85395</v>
      </c>
      <c r="C30" s="284">
        <v>2009</v>
      </c>
      <c r="D30" s="460">
        <f>SUM(E30:F30)</f>
        <v>7364499</v>
      </c>
      <c r="E30" s="460">
        <v>7364499</v>
      </c>
      <c r="F30" s="461">
        <v>0</v>
      </c>
      <c r="G30" s="1824"/>
      <c r="H30" s="368"/>
      <c r="I30" s="368"/>
      <c r="J30" s="368"/>
    </row>
    <row r="31" spans="1:11" s="431" customFormat="1" ht="24.95" customHeight="1" thickBot="1">
      <c r="A31" s="1805" t="s">
        <v>22</v>
      </c>
      <c r="B31" s="1806"/>
      <c r="C31" s="1807"/>
      <c r="D31" s="496">
        <f>SUM(D24:D30)</f>
        <v>33696044</v>
      </c>
      <c r="E31" s="496">
        <f t="shared" ref="E31:F31" si="4">SUM(E24:E30)</f>
        <v>33196044</v>
      </c>
      <c r="F31" s="496">
        <f t="shared" si="4"/>
        <v>500000</v>
      </c>
      <c r="G31" s="465"/>
    </row>
    <row r="32" spans="1:11">
      <c r="B32" s="374"/>
      <c r="C32" s="498"/>
      <c r="D32" s="2"/>
      <c r="E32" s="2"/>
      <c r="F32" s="2"/>
    </row>
    <row r="33" spans="3:6">
      <c r="C33" s="499"/>
      <c r="D33" s="2"/>
      <c r="E33" s="2"/>
      <c r="F33" s="2"/>
    </row>
    <row r="34" spans="3:6">
      <c r="C34" s="2"/>
      <c r="D34" s="2"/>
      <c r="E34" s="2"/>
      <c r="F34" s="2"/>
    </row>
    <row r="35" spans="3:6">
      <c r="C35" s="2"/>
      <c r="D35" s="2"/>
      <c r="E35" s="2"/>
      <c r="F35" s="2"/>
    </row>
    <row r="36" spans="3:6">
      <c r="C36" s="2"/>
    </row>
  </sheetData>
  <mergeCells count="35">
    <mergeCell ref="A2:G2"/>
    <mergeCell ref="A4:G4"/>
    <mergeCell ref="A5:A6"/>
    <mergeCell ref="B5:B6"/>
    <mergeCell ref="C5:C6"/>
    <mergeCell ref="D5:D6"/>
    <mergeCell ref="E5:F5"/>
    <mergeCell ref="G5:G6"/>
    <mergeCell ref="A7:A8"/>
    <mergeCell ref="B7:B8"/>
    <mergeCell ref="G7:G8"/>
    <mergeCell ref="A9:A10"/>
    <mergeCell ref="B9:B10"/>
    <mergeCell ref="G9:G10"/>
    <mergeCell ref="A11:A14"/>
    <mergeCell ref="B11:B12"/>
    <mergeCell ref="G11:G12"/>
    <mergeCell ref="B13:B14"/>
    <mergeCell ref="G13:G18"/>
    <mergeCell ref="A15:A16"/>
    <mergeCell ref="B15:B16"/>
    <mergeCell ref="A19:C19"/>
    <mergeCell ref="A20:G20"/>
    <mergeCell ref="A21:G21"/>
    <mergeCell ref="A22:A23"/>
    <mergeCell ref="B22:B23"/>
    <mergeCell ref="C22:C23"/>
    <mergeCell ref="D22:D23"/>
    <mergeCell ref="E22:F22"/>
    <mergeCell ref="G22:G23"/>
    <mergeCell ref="A24:A26"/>
    <mergeCell ref="B24:B26"/>
    <mergeCell ref="G25:G26"/>
    <mergeCell ref="G27:G30"/>
    <mergeCell ref="A31:C3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landscape" r:id="rId1"/>
  <headerFooter alignWithMargins="0"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J20"/>
  <sheetViews>
    <sheetView view="pageBreakPreview" zoomScaleSheetLayoutView="100" workbookViewId="0">
      <selection activeCell="H3" sqref="H3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4" customHeight="1">
      <c r="A1" s="1794"/>
      <c r="B1" s="1794"/>
      <c r="C1" s="8"/>
      <c r="D1" s="8"/>
      <c r="E1" s="8"/>
      <c r="F1" s="8"/>
      <c r="G1" s="276" t="s">
        <v>1126</v>
      </c>
    </row>
    <row r="2" spans="1:10">
      <c r="A2" s="106"/>
      <c r="B2" s="106"/>
      <c r="C2" s="106"/>
      <c r="D2" s="106"/>
      <c r="E2" s="106"/>
      <c r="F2" s="106"/>
      <c r="G2" s="106"/>
    </row>
    <row r="3" spans="1:10" ht="46.5" customHeight="1">
      <c r="A3" s="1703" t="s">
        <v>574</v>
      </c>
      <c r="B3" s="1703"/>
      <c r="C3" s="1703"/>
      <c r="D3" s="1703"/>
      <c r="E3" s="1703"/>
      <c r="F3" s="1703"/>
      <c r="G3" s="1703"/>
    </row>
    <row r="4" spans="1:10" ht="15">
      <c r="A4" s="274"/>
      <c r="B4" s="274"/>
      <c r="C4" s="274"/>
      <c r="D4" s="274"/>
      <c r="E4" s="274"/>
      <c r="F4" s="274"/>
      <c r="G4" s="6" t="s">
        <v>21</v>
      </c>
    </row>
    <row r="5" spans="1:10" s="456" customFormat="1" ht="20.100000000000001" customHeight="1" thickBot="1">
      <c r="A5" s="1795" t="s">
        <v>575</v>
      </c>
      <c r="B5" s="1795"/>
      <c r="C5" s="1795"/>
      <c r="D5" s="1795"/>
      <c r="E5" s="1795"/>
      <c r="F5" s="1795"/>
      <c r="G5" s="1795"/>
      <c r="H5" s="454"/>
      <c r="I5" s="455"/>
      <c r="J5" s="455"/>
    </row>
    <row r="6" spans="1:10" s="179" customFormat="1" ht="20.100000000000001" customHeight="1">
      <c r="A6" s="1796" t="s">
        <v>0</v>
      </c>
      <c r="B6" s="1798" t="s">
        <v>1</v>
      </c>
      <c r="C6" s="1798" t="s">
        <v>5</v>
      </c>
      <c r="D6" s="1800" t="s">
        <v>563</v>
      </c>
      <c r="E6" s="1798" t="s">
        <v>2</v>
      </c>
      <c r="F6" s="1798"/>
      <c r="G6" s="1802" t="s">
        <v>156</v>
      </c>
      <c r="H6" s="457"/>
      <c r="I6" s="458"/>
      <c r="J6" s="458"/>
    </row>
    <row r="7" spans="1:10" s="179" customFormat="1" ht="20.100000000000001" customHeight="1">
      <c r="A7" s="1797"/>
      <c r="B7" s="1799"/>
      <c r="C7" s="1799"/>
      <c r="D7" s="1801"/>
      <c r="E7" s="292" t="s">
        <v>20</v>
      </c>
      <c r="F7" s="292" t="s">
        <v>19</v>
      </c>
      <c r="G7" s="1803"/>
      <c r="H7" s="457"/>
      <c r="I7" s="458"/>
      <c r="J7" s="458"/>
    </row>
    <row r="8" spans="1:10" s="369" customFormat="1" ht="30" customHeight="1">
      <c r="A8" s="1836">
        <v>750</v>
      </c>
      <c r="B8" s="1837">
        <v>75095</v>
      </c>
      <c r="C8" s="284">
        <v>2058</v>
      </c>
      <c r="D8" s="460">
        <f>SUM(E8:F8)</f>
        <v>1713736</v>
      </c>
      <c r="E8" s="461">
        <v>1713736</v>
      </c>
      <c r="F8" s="460">
        <v>0</v>
      </c>
      <c r="G8" s="1838" t="s">
        <v>576</v>
      </c>
      <c r="H8" s="457"/>
      <c r="I8" s="463"/>
      <c r="J8" s="463"/>
    </row>
    <row r="9" spans="1:10" s="106" customFormat="1" ht="30" customHeight="1">
      <c r="A9" s="1836"/>
      <c r="B9" s="1837"/>
      <c r="C9" s="284">
        <v>2059</v>
      </c>
      <c r="D9" s="460">
        <f>SUM(E9:F9)</f>
        <v>302424</v>
      </c>
      <c r="E9" s="460">
        <v>302424</v>
      </c>
      <c r="F9" s="461">
        <v>0</v>
      </c>
      <c r="G9" s="1838"/>
      <c r="H9" s="497"/>
      <c r="I9" s="371"/>
      <c r="J9" s="371"/>
    </row>
    <row r="10" spans="1:10" ht="30" customHeight="1" thickBot="1">
      <c r="A10" s="1788" t="s">
        <v>22</v>
      </c>
      <c r="B10" s="1789"/>
      <c r="C10" s="1789"/>
      <c r="D10" s="464">
        <f>SUM(D8:D9)</f>
        <v>2016160</v>
      </c>
      <c r="E10" s="464">
        <f>SUM(E8:E9)</f>
        <v>2016160</v>
      </c>
      <c r="F10" s="464">
        <f>SUM(F8:F9)</f>
        <v>0</v>
      </c>
      <c r="G10" s="465"/>
    </row>
    <row r="11" spans="1:10" s="345" customFormat="1" ht="20.100000000000001" customHeight="1">
      <c r="A11" s="1790"/>
      <c r="B11" s="1790"/>
      <c r="C11" s="1790"/>
      <c r="D11" s="1790"/>
      <c r="E11" s="1790"/>
      <c r="F11" s="1790"/>
      <c r="G11" s="1790"/>
    </row>
    <row r="12" spans="1:10" s="431" customFormat="1" ht="20.100000000000001" customHeight="1">
      <c r="A12" s="1791"/>
      <c r="B12" s="1791"/>
      <c r="C12" s="1791"/>
      <c r="D12" s="1791"/>
      <c r="E12" s="1791"/>
      <c r="F12" s="1791"/>
      <c r="G12" s="1791"/>
    </row>
    <row r="13" spans="1:10" ht="20.100000000000001" customHeight="1">
      <c r="A13" s="1792"/>
      <c r="B13" s="1792"/>
      <c r="C13" s="1792"/>
      <c r="D13" s="1793"/>
      <c r="E13" s="1792"/>
      <c r="F13" s="1792"/>
      <c r="G13" s="1793"/>
    </row>
    <row r="14" spans="1:10" ht="20.100000000000001" customHeight="1">
      <c r="A14" s="1792"/>
      <c r="B14" s="1792"/>
      <c r="C14" s="1792"/>
      <c r="D14" s="1793"/>
      <c r="E14" s="466"/>
      <c r="F14" s="466"/>
      <c r="G14" s="1793"/>
    </row>
    <row r="15" spans="1:10" s="431" customFormat="1" ht="45" customHeight="1">
      <c r="A15" s="1785"/>
      <c r="B15" s="1785"/>
      <c r="C15" s="467"/>
      <c r="D15" s="468"/>
      <c r="E15" s="469"/>
      <c r="F15" s="468"/>
      <c r="G15" s="1786"/>
    </row>
    <row r="16" spans="1:10" s="106" customFormat="1" ht="45" customHeight="1">
      <c r="A16" s="1785"/>
      <c r="B16" s="1785"/>
      <c r="C16" s="467"/>
      <c r="D16" s="468"/>
      <c r="E16" s="468"/>
      <c r="F16" s="469"/>
      <c r="G16" s="1786"/>
    </row>
    <row r="17" spans="1:7" ht="20.100000000000001" customHeight="1">
      <c r="A17" s="1787"/>
      <c r="B17" s="1787"/>
      <c r="C17" s="1787"/>
      <c r="D17" s="470"/>
      <c r="E17" s="470"/>
      <c r="F17" s="470"/>
      <c r="G17" s="471"/>
    </row>
    <row r="18" spans="1:7">
      <c r="A18" s="472"/>
      <c r="B18" s="472"/>
      <c r="C18" s="472"/>
      <c r="D18" s="472"/>
      <c r="E18" s="472"/>
      <c r="F18" s="472"/>
      <c r="G18" s="472"/>
    </row>
    <row r="19" spans="1:7">
      <c r="A19" s="472"/>
      <c r="B19" s="472"/>
      <c r="C19" s="472"/>
      <c r="D19" s="473"/>
      <c r="E19" s="473"/>
      <c r="F19" s="473"/>
      <c r="G19" s="472"/>
    </row>
    <row r="20" spans="1:7">
      <c r="A20" s="472"/>
      <c r="B20" s="472"/>
      <c r="C20" s="472"/>
      <c r="D20" s="472"/>
      <c r="E20" s="472"/>
      <c r="F20" s="472"/>
      <c r="G20" s="472"/>
    </row>
  </sheetData>
  <mergeCells count="25">
    <mergeCell ref="A12:G12"/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8:A9"/>
    <mergeCell ref="B8:B9"/>
    <mergeCell ref="G8:G9"/>
    <mergeCell ref="A10:C10"/>
    <mergeCell ref="A11:G11"/>
    <mergeCell ref="A15:A16"/>
    <mergeCell ref="B15:B16"/>
    <mergeCell ref="G15:G16"/>
    <mergeCell ref="A17:C17"/>
    <mergeCell ref="A13:A14"/>
    <mergeCell ref="B13:B14"/>
    <mergeCell ref="C13:C14"/>
    <mergeCell ref="D13:D14"/>
    <mergeCell ref="E13:F13"/>
    <mergeCell ref="G13:G1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H273"/>
  <sheetViews>
    <sheetView view="pageBreakPreview" zoomScale="120" zoomScaleNormal="100" zoomScaleSheetLayoutView="120" workbookViewId="0">
      <selection activeCell="G2" sqref="G2"/>
    </sheetView>
  </sheetViews>
  <sheetFormatPr defaultRowHeight="12.75"/>
  <cols>
    <col min="1" max="1" width="6.140625" style="277" customWidth="1"/>
    <col min="2" max="3" width="8.85546875" style="277" customWidth="1"/>
    <col min="4" max="4" width="43.42578125" style="277" customWidth="1"/>
    <col min="5" max="5" width="11.28515625" style="277" customWidth="1"/>
    <col min="6" max="6" width="11.5703125" style="277" customWidth="1"/>
    <col min="7" max="7" width="9.140625" style="277"/>
    <col min="8" max="8" width="8.85546875" style="278" customWidth="1"/>
    <col min="9" max="16384" width="9.140625" style="277"/>
  </cols>
  <sheetData>
    <row r="1" spans="1:8" ht="65.25" customHeight="1">
      <c r="A1" s="39"/>
      <c r="B1" s="39"/>
      <c r="C1" s="275"/>
      <c r="D1" s="1528" t="s">
        <v>1127</v>
      </c>
      <c r="E1" s="1852"/>
    </row>
    <row r="2" spans="1:8" ht="69" customHeight="1">
      <c r="A2" s="1665" t="s">
        <v>231</v>
      </c>
      <c r="B2" s="1665"/>
      <c r="C2" s="1665"/>
      <c r="D2" s="1665"/>
      <c r="E2" s="1665"/>
      <c r="F2" s="279"/>
      <c r="G2" s="279"/>
    </row>
    <row r="3" spans="1:8" s="1066" customFormat="1" hidden="1">
      <c r="A3" s="1065"/>
      <c r="B3" s="1065"/>
      <c r="C3" s="1065"/>
      <c r="D3" s="1065"/>
      <c r="E3" s="280"/>
      <c r="H3" s="281"/>
    </row>
    <row r="4" spans="1:8" ht="36.75" customHeight="1">
      <c r="A4" s="1853" t="s">
        <v>232</v>
      </c>
      <c r="B4" s="1854"/>
      <c r="C4" s="1854"/>
      <c r="D4" s="1854"/>
      <c r="E4" s="1855"/>
    </row>
    <row r="5" spans="1:8" ht="15.75" customHeight="1" thickBot="1">
      <c r="A5" s="1856" t="s">
        <v>21</v>
      </c>
      <c r="B5" s="1856"/>
      <c r="C5" s="1856"/>
      <c r="D5" s="1856"/>
      <c r="E5" s="1856"/>
    </row>
    <row r="6" spans="1:8" ht="18.75" customHeight="1" thickBot="1">
      <c r="A6" s="282" t="s">
        <v>0</v>
      </c>
      <c r="B6" s="1072" t="s">
        <v>1</v>
      </c>
      <c r="C6" s="1072" t="s">
        <v>5</v>
      </c>
      <c r="D6" s="1072" t="s">
        <v>68</v>
      </c>
      <c r="E6" s="1073" t="s">
        <v>80</v>
      </c>
    </row>
    <row r="7" spans="1:8" ht="23.25" customHeight="1">
      <c r="A7" s="1857" t="s">
        <v>122</v>
      </c>
      <c r="B7" s="1858"/>
      <c r="C7" s="1858"/>
      <c r="D7" s="283" t="s">
        <v>233</v>
      </c>
      <c r="E7" s="1074">
        <f>SUM(E8)</f>
        <v>8086000</v>
      </c>
      <c r="G7" s="278"/>
    </row>
    <row r="8" spans="1:8">
      <c r="A8" s="1839"/>
      <c r="B8" s="1841" t="s">
        <v>234</v>
      </c>
      <c r="C8" s="1848" t="s">
        <v>235</v>
      </c>
      <c r="D8" s="1848"/>
      <c r="E8" s="1075">
        <f>SUM(E9:E10)</f>
        <v>8086000</v>
      </c>
      <c r="G8" s="278"/>
    </row>
    <row r="9" spans="1:8">
      <c r="A9" s="1839"/>
      <c r="B9" s="1841"/>
      <c r="C9" s="1076">
        <v>2210</v>
      </c>
      <c r="D9" s="1077"/>
      <c r="E9" s="1078">
        <v>5091000</v>
      </c>
      <c r="G9" s="278"/>
    </row>
    <row r="10" spans="1:8">
      <c r="A10" s="1839"/>
      <c r="B10" s="1841"/>
      <c r="C10" s="1076">
        <v>6510</v>
      </c>
      <c r="D10" s="1077"/>
      <c r="E10" s="1078">
        <v>2995000</v>
      </c>
    </row>
    <row r="11" spans="1:8" s="278" customFormat="1" ht="23.25" customHeight="1">
      <c r="A11" s="1839" t="s">
        <v>7</v>
      </c>
      <c r="B11" s="1847"/>
      <c r="C11" s="1847"/>
      <c r="D11" s="1079" t="s">
        <v>151</v>
      </c>
      <c r="E11" s="1080">
        <f>E12+E14</f>
        <v>58075000</v>
      </c>
      <c r="F11" s="277"/>
    </row>
    <row r="12" spans="1:8" s="278" customFormat="1">
      <c r="A12" s="1839"/>
      <c r="B12" s="1841" t="s">
        <v>8</v>
      </c>
      <c r="C12" s="1848" t="s">
        <v>236</v>
      </c>
      <c r="D12" s="1848"/>
      <c r="E12" s="1075">
        <f>SUM(E13)</f>
        <v>58000000</v>
      </c>
      <c r="F12" s="277"/>
      <c r="G12" s="277"/>
    </row>
    <row r="13" spans="1:8" s="278" customFormat="1">
      <c r="A13" s="1839"/>
      <c r="B13" s="1841"/>
      <c r="C13" s="1076">
        <v>2210</v>
      </c>
      <c r="D13" s="1081"/>
      <c r="E13" s="1078">
        <v>58000000</v>
      </c>
      <c r="F13" s="277"/>
      <c r="G13" s="277"/>
    </row>
    <row r="14" spans="1:8" s="278" customFormat="1">
      <c r="A14" s="1839"/>
      <c r="B14" s="1841" t="s">
        <v>237</v>
      </c>
      <c r="C14" s="1848" t="s">
        <v>238</v>
      </c>
      <c r="D14" s="1848"/>
      <c r="E14" s="1075">
        <f>SUM(E15)</f>
        <v>75000</v>
      </c>
      <c r="F14" s="277"/>
      <c r="G14" s="277"/>
    </row>
    <row r="15" spans="1:8" s="278" customFormat="1">
      <c r="A15" s="1839"/>
      <c r="B15" s="1841"/>
      <c r="C15" s="1076">
        <v>2210</v>
      </c>
      <c r="D15" s="1081"/>
      <c r="E15" s="1078">
        <v>75000</v>
      </c>
      <c r="F15" s="277"/>
      <c r="G15" s="277"/>
    </row>
    <row r="16" spans="1:8" s="278" customFormat="1" ht="24" customHeight="1">
      <c r="A16" s="1839" t="s">
        <v>239</v>
      </c>
      <c r="B16" s="1851"/>
      <c r="C16" s="1851"/>
      <c r="D16" s="1082" t="s">
        <v>240</v>
      </c>
      <c r="E16" s="1080">
        <f>SUM(E17,E19)</f>
        <v>579000</v>
      </c>
      <c r="F16" s="277"/>
      <c r="G16" s="277"/>
    </row>
    <row r="17" spans="1:7" s="278" customFormat="1">
      <c r="A17" s="1839"/>
      <c r="B17" s="1841" t="s">
        <v>241</v>
      </c>
      <c r="C17" s="1848" t="s">
        <v>242</v>
      </c>
      <c r="D17" s="1848"/>
      <c r="E17" s="1075">
        <f>SUM(E18)</f>
        <v>474000</v>
      </c>
      <c r="F17" s="277"/>
      <c r="G17" s="277"/>
    </row>
    <row r="18" spans="1:7" s="278" customFormat="1">
      <c r="A18" s="1839"/>
      <c r="B18" s="1841"/>
      <c r="C18" s="1076">
        <v>2210</v>
      </c>
      <c r="D18" s="1083"/>
      <c r="E18" s="1078">
        <v>474000</v>
      </c>
      <c r="F18" s="277"/>
      <c r="G18" s="277"/>
    </row>
    <row r="19" spans="1:7" s="278" customFormat="1">
      <c r="A19" s="1839"/>
      <c r="B19" s="1841" t="s">
        <v>243</v>
      </c>
      <c r="C19" s="1848" t="s">
        <v>238</v>
      </c>
      <c r="D19" s="1848"/>
      <c r="E19" s="1075">
        <f>SUM(E20:E21)</f>
        <v>105000</v>
      </c>
      <c r="F19" s="277"/>
      <c r="G19" s="277"/>
    </row>
    <row r="20" spans="1:7" s="278" customFormat="1">
      <c r="A20" s="1839"/>
      <c r="B20" s="1841"/>
      <c r="C20" s="1076">
        <v>2210</v>
      </c>
      <c r="D20" s="1083"/>
      <c r="E20" s="1078">
        <v>100000</v>
      </c>
      <c r="F20" s="277"/>
      <c r="G20" s="277"/>
    </row>
    <row r="21" spans="1:7" s="278" customFormat="1">
      <c r="A21" s="1839"/>
      <c r="B21" s="1841"/>
      <c r="C21" s="1076">
        <v>6510</v>
      </c>
      <c r="D21" s="1083"/>
      <c r="E21" s="1078">
        <v>5000</v>
      </c>
      <c r="F21" s="277"/>
      <c r="G21" s="277"/>
    </row>
    <row r="22" spans="1:7" s="278" customFormat="1" ht="24" customHeight="1">
      <c r="A22" s="1839" t="s">
        <v>4</v>
      </c>
      <c r="B22" s="1847"/>
      <c r="C22" s="1847"/>
      <c r="D22" s="1079" t="s">
        <v>18</v>
      </c>
      <c r="E22" s="1080">
        <f>SUM(E24,E26,E28)</f>
        <v>439000</v>
      </c>
      <c r="F22" s="277"/>
      <c r="G22" s="277"/>
    </row>
    <row r="23" spans="1:7" s="278" customFormat="1">
      <c r="A23" s="1839"/>
      <c r="B23" s="1841" t="s">
        <v>244</v>
      </c>
      <c r="C23" s="1848" t="s">
        <v>245</v>
      </c>
      <c r="D23" s="1848"/>
      <c r="E23" s="1075">
        <f>SUM(E24)</f>
        <v>382000</v>
      </c>
      <c r="F23" s="277"/>
      <c r="G23" s="277"/>
    </row>
    <row r="24" spans="1:7" s="278" customFormat="1">
      <c r="A24" s="1839"/>
      <c r="B24" s="1841"/>
      <c r="C24" s="1076">
        <v>2210</v>
      </c>
      <c r="D24" s="1083"/>
      <c r="E24" s="1078">
        <v>382000</v>
      </c>
      <c r="F24" s="277"/>
      <c r="G24" s="277"/>
    </row>
    <row r="25" spans="1:7" s="278" customFormat="1">
      <c r="A25" s="1839"/>
      <c r="B25" s="1841" t="s">
        <v>246</v>
      </c>
      <c r="C25" s="1848" t="s">
        <v>247</v>
      </c>
      <c r="D25" s="1848"/>
      <c r="E25" s="1075">
        <f>SUM(E26)</f>
        <v>20000</v>
      </c>
      <c r="F25" s="277"/>
      <c r="G25" s="277"/>
    </row>
    <row r="26" spans="1:7" s="278" customFormat="1">
      <c r="A26" s="1839"/>
      <c r="B26" s="1841"/>
      <c r="C26" s="1076">
        <v>2210</v>
      </c>
      <c r="D26" s="1083"/>
      <c r="E26" s="1078">
        <v>20000</v>
      </c>
      <c r="F26" s="277"/>
      <c r="G26" s="277"/>
    </row>
    <row r="27" spans="1:7" s="278" customFormat="1">
      <c r="A27" s="1839"/>
      <c r="B27" s="1841" t="s">
        <v>248</v>
      </c>
      <c r="C27" s="1848" t="s">
        <v>249</v>
      </c>
      <c r="D27" s="1848"/>
      <c r="E27" s="1075">
        <f>SUM(E28)</f>
        <v>37000</v>
      </c>
      <c r="F27" s="277"/>
      <c r="G27" s="277"/>
    </row>
    <row r="28" spans="1:7" s="278" customFormat="1">
      <c r="A28" s="1839"/>
      <c r="B28" s="1841"/>
      <c r="C28" s="1076">
        <v>2210</v>
      </c>
      <c r="D28" s="1083"/>
      <c r="E28" s="1078">
        <v>37000</v>
      </c>
      <c r="F28" s="277"/>
      <c r="G28" s="277"/>
    </row>
    <row r="29" spans="1:7" s="278" customFormat="1" ht="24" customHeight="1">
      <c r="A29" s="1839" t="s">
        <v>250</v>
      </c>
      <c r="B29" s="1847"/>
      <c r="C29" s="1847"/>
      <c r="D29" s="1079" t="s">
        <v>251</v>
      </c>
      <c r="E29" s="1080">
        <f>SUM(E30)</f>
        <v>5000</v>
      </c>
      <c r="F29" s="277"/>
      <c r="G29" s="277"/>
    </row>
    <row r="30" spans="1:7" s="278" customFormat="1">
      <c r="A30" s="1839"/>
      <c r="B30" s="1841" t="s">
        <v>252</v>
      </c>
      <c r="C30" s="1848" t="s">
        <v>253</v>
      </c>
      <c r="D30" s="1848"/>
      <c r="E30" s="1075">
        <f>SUM(E31)</f>
        <v>5000</v>
      </c>
      <c r="G30" s="277"/>
    </row>
    <row r="31" spans="1:7" s="278" customFormat="1">
      <c r="A31" s="1839"/>
      <c r="B31" s="1841"/>
      <c r="C31" s="1076">
        <v>2210</v>
      </c>
      <c r="D31" s="1081"/>
      <c r="E31" s="1078">
        <v>5000</v>
      </c>
      <c r="F31" s="277"/>
      <c r="G31" s="277"/>
    </row>
    <row r="32" spans="1:7" s="278" customFormat="1" ht="24" customHeight="1">
      <c r="A32" s="1839" t="s">
        <v>136</v>
      </c>
      <c r="B32" s="1851"/>
      <c r="C32" s="1851"/>
      <c r="D32" s="1082" t="s">
        <v>254</v>
      </c>
      <c r="E32" s="1080">
        <f>SUM(E35,E37,E33)</f>
        <v>176000</v>
      </c>
      <c r="G32" s="277"/>
    </row>
    <row r="33" spans="1:7" s="278" customFormat="1">
      <c r="A33" s="1839"/>
      <c r="B33" s="1841" t="s">
        <v>255</v>
      </c>
      <c r="C33" s="1849" t="s">
        <v>256</v>
      </c>
      <c r="D33" s="1848"/>
      <c r="E33" s="1075">
        <f>SUM(E34)</f>
        <v>117000</v>
      </c>
      <c r="F33" s="277"/>
      <c r="G33" s="277"/>
    </row>
    <row r="34" spans="1:7" s="278" customFormat="1">
      <c r="A34" s="1839"/>
      <c r="B34" s="1841"/>
      <c r="C34" s="1076">
        <v>6510</v>
      </c>
      <c r="D34" s="1081"/>
      <c r="E34" s="1078">
        <v>117000</v>
      </c>
      <c r="F34" s="277"/>
      <c r="G34" s="277"/>
    </row>
    <row r="35" spans="1:7" s="278" customFormat="1" ht="37.5" customHeight="1">
      <c r="A35" s="1839"/>
      <c r="B35" s="1841" t="s">
        <v>257</v>
      </c>
      <c r="C35" s="1849" t="s">
        <v>258</v>
      </c>
      <c r="D35" s="1848"/>
      <c r="E35" s="1075">
        <f>SUM(E36)</f>
        <v>24000</v>
      </c>
      <c r="F35" s="277"/>
      <c r="G35" s="277"/>
    </row>
    <row r="36" spans="1:7" s="278" customFormat="1">
      <c r="A36" s="1839"/>
      <c r="B36" s="1841"/>
      <c r="C36" s="1076">
        <v>2210</v>
      </c>
      <c r="D36" s="1081"/>
      <c r="E36" s="1078">
        <v>24000</v>
      </c>
      <c r="F36" s="277"/>
      <c r="G36" s="277"/>
    </row>
    <row r="37" spans="1:7" s="278" customFormat="1">
      <c r="A37" s="1839"/>
      <c r="B37" s="1841" t="s">
        <v>259</v>
      </c>
      <c r="C37" s="1849" t="s">
        <v>238</v>
      </c>
      <c r="D37" s="1848"/>
      <c r="E37" s="1075">
        <f>SUM(E38)</f>
        <v>35000</v>
      </c>
      <c r="F37" s="277"/>
      <c r="G37" s="277"/>
    </row>
    <row r="38" spans="1:7" s="278" customFormat="1">
      <c r="A38" s="1839"/>
      <c r="B38" s="1841"/>
      <c r="C38" s="1076">
        <v>2210</v>
      </c>
      <c r="D38" s="1083"/>
      <c r="E38" s="1078">
        <v>35000</v>
      </c>
      <c r="F38" s="277"/>
      <c r="G38" s="277"/>
    </row>
    <row r="39" spans="1:7" s="278" customFormat="1" ht="27" customHeight="1">
      <c r="A39" s="1839" t="s">
        <v>142</v>
      </c>
      <c r="B39" s="1840"/>
      <c r="C39" s="1840"/>
      <c r="D39" s="1084" t="s">
        <v>260</v>
      </c>
      <c r="E39" s="1080">
        <f>SUM(E40)</f>
        <v>2000</v>
      </c>
      <c r="F39" s="277"/>
      <c r="G39" s="277"/>
    </row>
    <row r="40" spans="1:7" s="278" customFormat="1">
      <c r="A40" s="1839"/>
      <c r="B40" s="1841" t="s">
        <v>261</v>
      </c>
      <c r="C40" s="1842" t="s">
        <v>262</v>
      </c>
      <c r="D40" s="1842"/>
      <c r="E40" s="1075">
        <f>SUM(E41)</f>
        <v>2000</v>
      </c>
      <c r="F40" s="277"/>
      <c r="G40" s="277"/>
    </row>
    <row r="41" spans="1:7" s="278" customFormat="1">
      <c r="A41" s="1839"/>
      <c r="B41" s="1841"/>
      <c r="C41" s="1076">
        <v>2210</v>
      </c>
      <c r="D41" s="1083"/>
      <c r="E41" s="1078">
        <v>2000</v>
      </c>
      <c r="F41" s="277"/>
      <c r="G41" s="277"/>
    </row>
    <row r="42" spans="1:7" s="278" customFormat="1" ht="23.25" customHeight="1">
      <c r="A42" s="1839" t="s">
        <v>215</v>
      </c>
      <c r="B42" s="1847"/>
      <c r="C42" s="1847"/>
      <c r="D42" s="1079" t="s">
        <v>263</v>
      </c>
      <c r="E42" s="1080">
        <f>SUM(E43,E45,E47)</f>
        <v>2920000</v>
      </c>
      <c r="F42" s="277"/>
    </row>
    <row r="43" spans="1:7" s="278" customFormat="1">
      <c r="A43" s="1839"/>
      <c r="B43" s="1841" t="s">
        <v>264</v>
      </c>
      <c r="C43" s="1848" t="s">
        <v>265</v>
      </c>
      <c r="D43" s="1848"/>
      <c r="E43" s="1075">
        <f>SUM(E44)</f>
        <v>291000</v>
      </c>
      <c r="F43" s="277"/>
      <c r="G43" s="277"/>
    </row>
    <row r="44" spans="1:7" s="278" customFormat="1">
      <c r="A44" s="1839"/>
      <c r="B44" s="1841"/>
      <c r="C44" s="1076">
        <v>2380</v>
      </c>
      <c r="D44" s="1081"/>
      <c r="E44" s="1078">
        <v>291000</v>
      </c>
      <c r="F44" s="277"/>
      <c r="G44" s="277"/>
    </row>
    <row r="45" spans="1:7" s="278" customFormat="1" ht="45.75" customHeight="1">
      <c r="A45" s="1839"/>
      <c r="B45" s="1841" t="s">
        <v>266</v>
      </c>
      <c r="C45" s="1849" t="s">
        <v>267</v>
      </c>
      <c r="D45" s="1849"/>
      <c r="E45" s="1075">
        <f>SUM(E46)</f>
        <v>1879000</v>
      </c>
      <c r="F45" s="277"/>
      <c r="G45" s="277"/>
    </row>
    <row r="46" spans="1:7" s="278" customFormat="1">
      <c r="A46" s="1839"/>
      <c r="B46" s="1841"/>
      <c r="C46" s="1076">
        <v>2210</v>
      </c>
      <c r="D46" s="1081"/>
      <c r="E46" s="1078">
        <v>1879000</v>
      </c>
      <c r="F46" s="277"/>
      <c r="G46" s="277"/>
    </row>
    <row r="47" spans="1:7" s="278" customFormat="1">
      <c r="A47" s="1839"/>
      <c r="B47" s="1841" t="s">
        <v>268</v>
      </c>
      <c r="C47" s="1848" t="s">
        <v>269</v>
      </c>
      <c r="D47" s="1848"/>
      <c r="E47" s="1075">
        <f>SUM(E48)</f>
        <v>750000</v>
      </c>
      <c r="F47" s="277"/>
      <c r="G47" s="277"/>
    </row>
    <row r="48" spans="1:7" s="278" customFormat="1" ht="13.5" thickBot="1">
      <c r="A48" s="1846"/>
      <c r="B48" s="1850"/>
      <c r="C48" s="285">
        <v>2210</v>
      </c>
      <c r="D48" s="286"/>
      <c r="E48" s="287">
        <v>750000</v>
      </c>
      <c r="F48" s="277"/>
      <c r="G48" s="277"/>
    </row>
    <row r="49" spans="1:7" s="278" customFormat="1" ht="30" customHeight="1" thickBot="1">
      <c r="A49" s="1843" t="s">
        <v>16</v>
      </c>
      <c r="B49" s="1844"/>
      <c r="C49" s="1844"/>
      <c r="D49" s="1845"/>
      <c r="E49" s="1085">
        <f>SUM(E42,E39,E32,E29,E22,E16,E11,E7)</f>
        <v>70282000</v>
      </c>
      <c r="F49" s="277"/>
    </row>
    <row r="50" spans="1:7" s="278" customFormat="1">
      <c r="A50" s="116"/>
      <c r="B50" s="116"/>
      <c r="C50" s="1066"/>
      <c r="D50" s="1066"/>
      <c r="E50" s="117"/>
      <c r="F50" s="277"/>
      <c r="G50" s="277"/>
    </row>
    <row r="51" spans="1:7" s="278" customFormat="1">
      <c r="A51" s="116"/>
      <c r="B51" s="116"/>
      <c r="C51" s="1066"/>
      <c r="D51" s="1066"/>
      <c r="E51" s="117"/>
      <c r="F51" s="277"/>
      <c r="G51" s="277"/>
    </row>
    <row r="52" spans="1:7" s="278" customFormat="1">
      <c r="A52" s="116"/>
      <c r="B52" s="116"/>
      <c r="C52" s="1066"/>
      <c r="D52" s="1066"/>
      <c r="E52" s="117"/>
      <c r="F52" s="277"/>
      <c r="G52" s="277"/>
    </row>
    <row r="53" spans="1:7" s="278" customFormat="1" ht="12.75" customHeight="1">
      <c r="A53" s="116"/>
      <c r="B53" s="116"/>
      <c r="C53" s="1066"/>
      <c r="D53" s="1066"/>
      <c r="E53" s="117"/>
      <c r="F53" s="277"/>
      <c r="G53" s="277"/>
    </row>
    <row r="54" spans="1:7" s="278" customFormat="1">
      <c r="A54" s="116"/>
      <c r="B54" s="116"/>
      <c r="C54" s="1066"/>
      <c r="D54" s="1066"/>
      <c r="E54" s="117"/>
      <c r="F54" s="277"/>
      <c r="G54" s="277"/>
    </row>
    <row r="55" spans="1:7" s="278" customFormat="1">
      <c r="A55" s="116"/>
      <c r="B55" s="116"/>
      <c r="C55" s="1066"/>
      <c r="D55" s="1066"/>
      <c r="E55" s="117"/>
      <c r="F55" s="277"/>
      <c r="G55" s="277"/>
    </row>
    <row r="56" spans="1:7" s="278" customFormat="1">
      <c r="A56" s="116"/>
      <c r="B56" s="116"/>
      <c r="C56" s="1066"/>
      <c r="D56" s="1066"/>
      <c r="E56" s="117"/>
      <c r="F56" s="277"/>
      <c r="G56" s="277"/>
    </row>
    <row r="57" spans="1:7" s="278" customFormat="1">
      <c r="A57" s="116"/>
      <c r="B57" s="116"/>
      <c r="C57" s="1066"/>
      <c r="D57" s="1066"/>
      <c r="E57" s="117"/>
      <c r="F57" s="277"/>
      <c r="G57" s="277"/>
    </row>
    <row r="58" spans="1:7" s="278" customFormat="1">
      <c r="A58" s="116"/>
      <c r="B58" s="116"/>
      <c r="C58" s="1066"/>
      <c r="D58" s="1066"/>
      <c r="E58" s="117"/>
      <c r="F58" s="277"/>
      <c r="G58" s="277"/>
    </row>
    <row r="59" spans="1:7" s="278" customFormat="1">
      <c r="A59" s="116"/>
      <c r="B59" s="116"/>
      <c r="C59" s="1066"/>
      <c r="D59" s="1066"/>
      <c r="E59" s="117"/>
      <c r="F59" s="277"/>
      <c r="G59" s="277"/>
    </row>
    <row r="60" spans="1:7" s="278" customFormat="1">
      <c r="A60" s="116"/>
      <c r="B60" s="116"/>
      <c r="C60" s="1066"/>
      <c r="D60" s="1066"/>
      <c r="E60" s="117"/>
      <c r="F60" s="277"/>
      <c r="G60" s="277"/>
    </row>
    <row r="61" spans="1:7" s="278" customFormat="1">
      <c r="A61" s="1066"/>
      <c r="B61" s="116"/>
      <c r="C61" s="1066"/>
      <c r="D61" s="1066"/>
      <c r="E61" s="117"/>
      <c r="F61" s="277"/>
      <c r="G61" s="277"/>
    </row>
    <row r="62" spans="1:7" s="278" customFormat="1">
      <c r="A62" s="1066"/>
      <c r="B62" s="116"/>
      <c r="C62" s="1066"/>
      <c r="D62" s="1066"/>
      <c r="E62" s="117"/>
      <c r="F62" s="277"/>
      <c r="G62" s="277"/>
    </row>
    <row r="63" spans="1:7" s="278" customFormat="1">
      <c r="A63" s="1066"/>
      <c r="B63" s="116"/>
      <c r="C63" s="1066"/>
      <c r="D63" s="1066"/>
      <c r="E63" s="117"/>
      <c r="F63" s="277"/>
      <c r="G63" s="277"/>
    </row>
    <row r="64" spans="1:7" s="278" customFormat="1">
      <c r="A64" s="1066"/>
      <c r="B64" s="116"/>
      <c r="C64" s="1066"/>
      <c r="D64" s="1066"/>
      <c r="E64" s="117"/>
      <c r="F64" s="277"/>
      <c r="G64" s="277"/>
    </row>
    <row r="65" spans="1:7" s="278" customFormat="1">
      <c r="A65" s="1066"/>
      <c r="B65" s="116"/>
      <c r="C65" s="1066"/>
      <c r="D65" s="1066"/>
      <c r="E65" s="117"/>
      <c r="F65" s="277"/>
      <c r="G65" s="277"/>
    </row>
    <row r="66" spans="1:7" s="278" customFormat="1">
      <c r="A66" s="1066"/>
      <c r="B66" s="116"/>
      <c r="C66" s="1066"/>
      <c r="D66" s="1066"/>
      <c r="E66" s="117"/>
      <c r="F66" s="277"/>
      <c r="G66" s="277"/>
    </row>
    <row r="67" spans="1:7" s="278" customFormat="1">
      <c r="A67" s="1066"/>
      <c r="B67" s="116"/>
      <c r="C67" s="1066"/>
      <c r="D67" s="1066"/>
      <c r="E67" s="117"/>
      <c r="F67" s="277"/>
      <c r="G67" s="277"/>
    </row>
    <row r="68" spans="1:7" s="278" customFormat="1">
      <c r="A68" s="1066"/>
      <c r="B68" s="116"/>
      <c r="C68" s="1066"/>
      <c r="D68" s="1066"/>
      <c r="E68" s="117"/>
      <c r="F68" s="277"/>
      <c r="G68" s="277"/>
    </row>
    <row r="69" spans="1:7" s="278" customFormat="1">
      <c r="A69" s="1066"/>
      <c r="B69" s="116"/>
      <c r="C69" s="1066"/>
      <c r="D69" s="1066"/>
      <c r="E69" s="117"/>
      <c r="F69" s="277"/>
      <c r="G69" s="277"/>
    </row>
    <row r="70" spans="1:7" s="278" customFormat="1">
      <c r="A70" s="1066"/>
      <c r="B70" s="116"/>
      <c r="C70" s="1066"/>
      <c r="D70" s="1066"/>
      <c r="E70" s="117"/>
      <c r="F70" s="277"/>
      <c r="G70" s="277"/>
    </row>
    <row r="71" spans="1:7" s="278" customFormat="1">
      <c r="A71" s="1066"/>
      <c r="B71" s="116"/>
      <c r="C71" s="1066"/>
      <c r="D71" s="1066"/>
      <c r="E71" s="117"/>
      <c r="F71" s="277"/>
      <c r="G71" s="277"/>
    </row>
    <row r="72" spans="1:7" s="278" customFormat="1">
      <c r="A72" s="1066"/>
      <c r="B72" s="116"/>
      <c r="C72" s="1066"/>
      <c r="D72" s="1066"/>
      <c r="E72" s="117"/>
      <c r="F72" s="277"/>
      <c r="G72" s="277"/>
    </row>
    <row r="73" spans="1:7">
      <c r="A73" s="1066"/>
      <c r="B73" s="116"/>
      <c r="C73" s="1066"/>
      <c r="D73" s="1066"/>
      <c r="E73" s="117"/>
    </row>
    <row r="74" spans="1:7">
      <c r="A74" s="1066"/>
      <c r="B74" s="116"/>
      <c r="C74" s="1066"/>
      <c r="D74" s="1066"/>
      <c r="E74" s="117"/>
    </row>
    <row r="75" spans="1:7">
      <c r="B75" s="116"/>
      <c r="C75" s="1066"/>
      <c r="D75" s="1066"/>
      <c r="E75" s="117"/>
    </row>
    <row r="76" spans="1:7">
      <c r="B76" s="116"/>
      <c r="C76" s="1066"/>
      <c r="D76" s="1066"/>
      <c r="E76" s="117"/>
    </row>
    <row r="77" spans="1:7">
      <c r="B77" s="288"/>
      <c r="E77" s="289"/>
    </row>
    <row r="78" spans="1:7">
      <c r="B78" s="288"/>
      <c r="E78" s="289"/>
    </row>
    <row r="79" spans="1:7">
      <c r="B79" s="288"/>
      <c r="E79" s="289"/>
    </row>
    <row r="80" spans="1:7">
      <c r="B80" s="288"/>
      <c r="E80" s="289"/>
    </row>
    <row r="81" spans="2:5">
      <c r="B81" s="288"/>
      <c r="E81" s="289"/>
    </row>
    <row r="82" spans="2:5">
      <c r="B82" s="288"/>
      <c r="E82" s="289"/>
    </row>
    <row r="83" spans="2:5">
      <c r="B83" s="288"/>
      <c r="E83" s="289"/>
    </row>
    <row r="84" spans="2:5">
      <c r="B84" s="288"/>
      <c r="E84" s="289"/>
    </row>
    <row r="85" spans="2:5">
      <c r="B85" s="288"/>
      <c r="E85" s="289"/>
    </row>
    <row r="86" spans="2:5">
      <c r="B86" s="288"/>
      <c r="E86" s="289"/>
    </row>
    <row r="87" spans="2:5">
      <c r="B87" s="288"/>
      <c r="E87" s="289"/>
    </row>
    <row r="88" spans="2:5">
      <c r="B88" s="288"/>
      <c r="E88" s="289"/>
    </row>
    <row r="89" spans="2:5">
      <c r="B89" s="288"/>
      <c r="E89" s="289"/>
    </row>
    <row r="90" spans="2:5">
      <c r="B90" s="288"/>
      <c r="E90" s="289"/>
    </row>
    <row r="91" spans="2:5">
      <c r="B91" s="288"/>
      <c r="E91" s="289"/>
    </row>
    <row r="92" spans="2:5">
      <c r="B92" s="288"/>
      <c r="E92" s="289"/>
    </row>
    <row r="93" spans="2:5">
      <c r="E93" s="289"/>
    </row>
    <row r="94" spans="2:5">
      <c r="E94" s="289"/>
    </row>
    <row r="165" spans="4:4">
      <c r="D165" s="290">
        <f>115000000+12000000</f>
        <v>127000000</v>
      </c>
    </row>
    <row r="273" spans="4:4">
      <c r="D273" s="290"/>
    </row>
  </sheetData>
  <mergeCells count="53">
    <mergeCell ref="D1:E1"/>
    <mergeCell ref="A2:E2"/>
    <mergeCell ref="A4:E4"/>
    <mergeCell ref="A5:E5"/>
    <mergeCell ref="A7:A10"/>
    <mergeCell ref="B7:C7"/>
    <mergeCell ref="B8:B10"/>
    <mergeCell ref="C8:D8"/>
    <mergeCell ref="A11:A15"/>
    <mergeCell ref="B11:C11"/>
    <mergeCell ref="B12:B13"/>
    <mergeCell ref="C12:D12"/>
    <mergeCell ref="B14:B15"/>
    <mergeCell ref="C14:D14"/>
    <mergeCell ref="A16:A21"/>
    <mergeCell ref="B16:C16"/>
    <mergeCell ref="B17:B18"/>
    <mergeCell ref="C17:D17"/>
    <mergeCell ref="B19:B21"/>
    <mergeCell ref="C19:D19"/>
    <mergeCell ref="A22:A28"/>
    <mergeCell ref="B22:C22"/>
    <mergeCell ref="B23:B24"/>
    <mergeCell ref="C23:D23"/>
    <mergeCell ref="B25:B26"/>
    <mergeCell ref="C25:D25"/>
    <mergeCell ref="B27:B28"/>
    <mergeCell ref="C27:D27"/>
    <mergeCell ref="A29:A31"/>
    <mergeCell ref="B29:C29"/>
    <mergeCell ref="B30:B31"/>
    <mergeCell ref="C30:D30"/>
    <mergeCell ref="A32:A38"/>
    <mergeCell ref="B32:C32"/>
    <mergeCell ref="B33:B34"/>
    <mergeCell ref="C33:D33"/>
    <mergeCell ref="B35:B36"/>
    <mergeCell ref="C35:D35"/>
    <mergeCell ref="B37:B38"/>
    <mergeCell ref="C37:D37"/>
    <mergeCell ref="A39:A41"/>
    <mergeCell ref="B39:C39"/>
    <mergeCell ref="B40:B41"/>
    <mergeCell ref="C40:D40"/>
    <mergeCell ref="A49:D49"/>
    <mergeCell ref="A42:A48"/>
    <mergeCell ref="B42:C42"/>
    <mergeCell ref="B43:B44"/>
    <mergeCell ref="C43:D43"/>
    <mergeCell ref="B45:B46"/>
    <mergeCell ref="C45:D45"/>
    <mergeCell ref="B47:B48"/>
    <mergeCell ref="C47:D47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portrait" r:id="rId1"/>
  <headerFooter>
    <oddFooter>Strona &amp;P z &amp;N</oddFooter>
  </headerFooter>
  <rowBreaks count="1" manualBreakCount="1">
    <brk id="38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M379"/>
  <sheetViews>
    <sheetView view="pageBreakPreview" zoomScale="110" zoomScaleNormal="75" zoomScaleSheetLayoutView="110" workbookViewId="0">
      <pane ySplit="5" topLeftCell="A6" activePane="bottomLeft" state="frozen"/>
      <selection activeCell="H2" sqref="H2"/>
      <selection pane="bottomLeft" activeCell="A2" sqref="A2:L2"/>
    </sheetView>
  </sheetViews>
  <sheetFormatPr defaultRowHeight="15.75"/>
  <cols>
    <col min="1" max="1" width="5.5703125" style="303" bestFit="1" customWidth="1"/>
    <col min="2" max="2" width="8.85546875" style="301" bestFit="1" customWidth="1"/>
    <col min="3" max="3" width="26.42578125" style="1066" customWidth="1"/>
    <col min="4" max="4" width="8.85546875" style="1066" bestFit="1" customWidth="1"/>
    <col min="5" max="5" width="10.28515625" style="1066" customWidth="1"/>
    <col min="6" max="6" width="10.28515625" style="1066" bestFit="1" customWidth="1"/>
    <col min="7" max="7" width="13.28515625" style="1066" customWidth="1"/>
    <col min="8" max="8" width="9.7109375" style="1066" bestFit="1" customWidth="1"/>
    <col min="9" max="9" width="12.85546875" style="1066" bestFit="1" customWidth="1"/>
    <col min="10" max="10" width="10.85546875" style="1066" customWidth="1"/>
    <col min="11" max="11" width="12.42578125" style="1066" customWidth="1"/>
    <col min="12" max="12" width="10.5703125" style="1066" customWidth="1"/>
    <col min="13" max="13" width="9.7109375" style="1066" customWidth="1"/>
    <col min="14" max="16384" width="9.140625" style="1066"/>
  </cols>
  <sheetData>
    <row r="1" spans="1:13" ht="23.25" customHeight="1">
      <c r="A1" s="1529" t="s">
        <v>270</v>
      </c>
      <c r="B1" s="1529"/>
      <c r="C1" s="1529"/>
      <c r="D1" s="1529"/>
      <c r="E1" s="1529"/>
      <c r="F1" s="1529"/>
      <c r="G1" s="1529"/>
      <c r="H1" s="1529"/>
      <c r="I1" s="1529"/>
      <c r="J1" s="1529"/>
      <c r="K1" s="1529"/>
      <c r="L1" s="1529"/>
    </row>
    <row r="2" spans="1:13" ht="13.5" thickBot="1">
      <c r="A2" s="1856" t="s">
        <v>271</v>
      </c>
      <c r="B2" s="1856"/>
      <c r="C2" s="1856"/>
      <c r="D2" s="1856"/>
      <c r="E2" s="1856"/>
      <c r="F2" s="1856"/>
      <c r="G2" s="1856"/>
      <c r="H2" s="1856"/>
      <c r="I2" s="1856"/>
      <c r="J2" s="1856"/>
      <c r="K2" s="1856"/>
      <c r="L2" s="1856"/>
    </row>
    <row r="3" spans="1:13" ht="12.75">
      <c r="A3" s="1796" t="s">
        <v>0</v>
      </c>
      <c r="B3" s="1798" t="s">
        <v>1</v>
      </c>
      <c r="C3" s="1798" t="s">
        <v>68</v>
      </c>
      <c r="D3" s="1811" t="s">
        <v>5</v>
      </c>
      <c r="E3" s="1800" t="s">
        <v>78</v>
      </c>
      <c r="F3" s="1800" t="s">
        <v>77</v>
      </c>
      <c r="G3" s="1894" t="s">
        <v>272</v>
      </c>
      <c r="H3" s="1895"/>
      <c r="I3" s="1895"/>
      <c r="J3" s="1895"/>
      <c r="K3" s="1896"/>
      <c r="L3" s="1897" t="s">
        <v>76</v>
      </c>
    </row>
    <row r="4" spans="1:13" ht="12.75" customHeight="1">
      <c r="A4" s="1886"/>
      <c r="B4" s="1888"/>
      <c r="C4" s="1888"/>
      <c r="D4" s="1890"/>
      <c r="E4" s="1892"/>
      <c r="F4" s="1892"/>
      <c r="G4" s="1892" t="s">
        <v>273</v>
      </c>
      <c r="H4" s="1888" t="s">
        <v>2</v>
      </c>
      <c r="I4" s="1888"/>
      <c r="J4" s="1892" t="s">
        <v>274</v>
      </c>
      <c r="K4" s="1900" t="s">
        <v>275</v>
      </c>
      <c r="L4" s="1898"/>
    </row>
    <row r="5" spans="1:13" ht="77.25" customHeight="1" thickBot="1">
      <c r="A5" s="1887"/>
      <c r="B5" s="1889"/>
      <c r="C5" s="1889"/>
      <c r="D5" s="1891"/>
      <c r="E5" s="1893"/>
      <c r="F5" s="1893"/>
      <c r="G5" s="1893"/>
      <c r="H5" s="1068" t="s">
        <v>276</v>
      </c>
      <c r="I5" s="1068" t="s">
        <v>277</v>
      </c>
      <c r="J5" s="1893"/>
      <c r="K5" s="1901"/>
      <c r="L5" s="1899"/>
    </row>
    <row r="6" spans="1:13" ht="30" customHeight="1">
      <c r="A6" s="1868" t="s">
        <v>122</v>
      </c>
      <c r="B6" s="1885" t="s">
        <v>233</v>
      </c>
      <c r="C6" s="1885"/>
      <c r="D6" s="1086"/>
      <c r="E6" s="1087">
        <f>SUM(E7)</f>
        <v>8086000</v>
      </c>
      <c r="F6" s="1087">
        <f>SUM(F7)</f>
        <v>5091000</v>
      </c>
      <c r="G6" s="1087">
        <f>SUM(H6:I6)</f>
        <v>5072140</v>
      </c>
      <c r="H6" s="1087">
        <f>SUM(H7)</f>
        <v>1391310</v>
      </c>
      <c r="I6" s="1087">
        <f>SUM(I7)</f>
        <v>3680830</v>
      </c>
      <c r="J6" s="1087"/>
      <c r="K6" s="1087">
        <f>SUM(K7)</f>
        <v>18860</v>
      </c>
      <c r="L6" s="1088">
        <f>SUM(L7)</f>
        <v>2995000</v>
      </c>
      <c r="M6" s="281"/>
    </row>
    <row r="7" spans="1:13" ht="25.5" customHeight="1">
      <c r="A7" s="1868"/>
      <c r="B7" s="1859" t="s">
        <v>234</v>
      </c>
      <c r="C7" s="1861" t="s">
        <v>235</v>
      </c>
      <c r="D7" s="1084" t="s">
        <v>278</v>
      </c>
      <c r="E7" s="1089">
        <f>SUM(F7,L7)</f>
        <v>8086000</v>
      </c>
      <c r="F7" s="1089">
        <f>SUM(G7,J7,K7)</f>
        <v>5091000</v>
      </c>
      <c r="G7" s="1089">
        <f>SUM(H7:I7)</f>
        <v>5072140</v>
      </c>
      <c r="H7" s="1089">
        <f>SUM(H8:H25)</f>
        <v>1391310</v>
      </c>
      <c r="I7" s="1089">
        <f>SUM(I8:I24)</f>
        <v>3680830</v>
      </c>
      <c r="J7" s="1090"/>
      <c r="K7" s="1089">
        <f>SUM(K8:K25)</f>
        <v>18860</v>
      </c>
      <c r="L7" s="1091">
        <f>SUM(L8:L25)</f>
        <v>2995000</v>
      </c>
      <c r="M7" s="293"/>
    </row>
    <row r="8" spans="1:13" ht="12.75">
      <c r="A8" s="1868"/>
      <c r="B8" s="1860"/>
      <c r="C8" s="1862"/>
      <c r="D8" s="1092">
        <v>3020</v>
      </c>
      <c r="E8" s="1093">
        <f t="shared" ref="E8:E13" si="0">SUM(F8,L8)</f>
        <v>18860</v>
      </c>
      <c r="F8" s="1093">
        <f t="shared" ref="F8:F13" si="1">SUM(G8,J8,K8)</f>
        <v>18860</v>
      </c>
      <c r="G8" s="1093"/>
      <c r="H8" s="1094"/>
      <c r="I8" s="1094"/>
      <c r="J8" s="1094"/>
      <c r="K8" s="1093">
        <v>18860</v>
      </c>
      <c r="L8" s="1095"/>
      <c r="M8" s="293"/>
    </row>
    <row r="9" spans="1:13" ht="12.75">
      <c r="A9" s="1868"/>
      <c r="B9" s="1860"/>
      <c r="C9" s="1862"/>
      <c r="D9" s="1092">
        <v>4010</v>
      </c>
      <c r="E9" s="1093">
        <f t="shared" si="0"/>
        <v>1089200</v>
      </c>
      <c r="F9" s="1093">
        <f t="shared" si="1"/>
        <v>1089200</v>
      </c>
      <c r="G9" s="1093">
        <f t="shared" ref="G9:G12" si="2">SUM(H9:I9)</f>
        <v>1089200</v>
      </c>
      <c r="H9" s="1093">
        <v>1089200</v>
      </c>
      <c r="I9" s="1094"/>
      <c r="J9" s="1094"/>
      <c r="K9" s="1094"/>
      <c r="L9" s="1095"/>
      <c r="M9" s="293"/>
    </row>
    <row r="10" spans="1:13" ht="12.75">
      <c r="A10" s="1868"/>
      <c r="B10" s="1860"/>
      <c r="C10" s="1862"/>
      <c r="D10" s="1092">
        <v>4040</v>
      </c>
      <c r="E10" s="1093">
        <f t="shared" si="0"/>
        <v>79645</v>
      </c>
      <c r="F10" s="1093">
        <f t="shared" si="1"/>
        <v>79645</v>
      </c>
      <c r="G10" s="1093">
        <f t="shared" si="2"/>
        <v>79645</v>
      </c>
      <c r="H10" s="1093">
        <v>79645</v>
      </c>
      <c r="I10" s="1094"/>
      <c r="J10" s="1094"/>
      <c r="K10" s="1094"/>
      <c r="L10" s="1095"/>
      <c r="M10" s="293"/>
    </row>
    <row r="11" spans="1:13" ht="12.75">
      <c r="A11" s="1868"/>
      <c r="B11" s="1860"/>
      <c r="C11" s="1862"/>
      <c r="D11" s="1092">
        <v>4110</v>
      </c>
      <c r="E11" s="1093">
        <f t="shared" si="0"/>
        <v>199893</v>
      </c>
      <c r="F11" s="1093">
        <f t="shared" si="1"/>
        <v>199893</v>
      </c>
      <c r="G11" s="1093">
        <f t="shared" si="2"/>
        <v>199893</v>
      </c>
      <c r="H11" s="1093">
        <v>199893</v>
      </c>
      <c r="I11" s="1094"/>
      <c r="J11" s="1094"/>
      <c r="K11" s="1094"/>
      <c r="L11" s="1095"/>
      <c r="M11" s="293"/>
    </row>
    <row r="12" spans="1:13" ht="12.75">
      <c r="A12" s="1868"/>
      <c r="B12" s="1860"/>
      <c r="C12" s="1862"/>
      <c r="D12" s="1092">
        <v>4120</v>
      </c>
      <c r="E12" s="1093">
        <f t="shared" si="0"/>
        <v>22572</v>
      </c>
      <c r="F12" s="1093">
        <f t="shared" si="1"/>
        <v>22572</v>
      </c>
      <c r="G12" s="1093">
        <f t="shared" si="2"/>
        <v>22572</v>
      </c>
      <c r="H12" s="1093">
        <v>22572</v>
      </c>
      <c r="I12" s="1094"/>
      <c r="J12" s="1094"/>
      <c r="K12" s="1094"/>
      <c r="L12" s="1095"/>
      <c r="M12" s="293"/>
    </row>
    <row r="13" spans="1:13" ht="12.75">
      <c r="A13" s="1868"/>
      <c r="B13" s="1860"/>
      <c r="C13" s="1862"/>
      <c r="D13" s="1092">
        <v>4140</v>
      </c>
      <c r="E13" s="1093">
        <f t="shared" si="0"/>
        <v>24000</v>
      </c>
      <c r="F13" s="1093">
        <f t="shared" si="1"/>
        <v>24000</v>
      </c>
      <c r="G13" s="1093">
        <f>SUM(H13:I13)</f>
        <v>24000</v>
      </c>
      <c r="H13" s="1094"/>
      <c r="I13" s="1093">
        <v>24000</v>
      </c>
      <c r="J13" s="1094"/>
      <c r="K13" s="1094"/>
      <c r="L13" s="1095"/>
      <c r="M13" s="293"/>
    </row>
    <row r="14" spans="1:13" ht="12.75">
      <c r="A14" s="1868"/>
      <c r="B14" s="1860"/>
      <c r="C14" s="1862"/>
      <c r="D14" s="1092">
        <v>4210</v>
      </c>
      <c r="E14" s="1093">
        <f>SUM(F14,L14)</f>
        <v>40000</v>
      </c>
      <c r="F14" s="1093">
        <f>SUM(G14,J14,K14)</f>
        <v>40000</v>
      </c>
      <c r="G14" s="1093">
        <f>SUM(H14:I14)</f>
        <v>40000</v>
      </c>
      <c r="H14" s="1094"/>
      <c r="I14" s="1093">
        <v>40000</v>
      </c>
      <c r="J14" s="1094"/>
      <c r="K14" s="1094"/>
      <c r="L14" s="1095"/>
      <c r="M14" s="293"/>
    </row>
    <row r="15" spans="1:13" ht="12.75">
      <c r="A15" s="1868"/>
      <c r="B15" s="1860"/>
      <c r="C15" s="1862"/>
      <c r="D15" s="1092">
        <v>4260</v>
      </c>
      <c r="E15" s="1093">
        <f t="shared" ref="E15:E25" si="3">SUM(F15,L15)</f>
        <v>400000</v>
      </c>
      <c r="F15" s="1093">
        <f t="shared" ref="F15:F24" si="4">SUM(G15,J15,K15)</f>
        <v>400000</v>
      </c>
      <c r="G15" s="1093">
        <f t="shared" ref="G15:G24" si="5">SUM(H15:I15)</f>
        <v>400000</v>
      </c>
      <c r="H15" s="1094"/>
      <c r="I15" s="1093">
        <v>400000</v>
      </c>
      <c r="J15" s="1094"/>
      <c r="K15" s="1094"/>
      <c r="L15" s="1095"/>
      <c r="M15" s="293"/>
    </row>
    <row r="16" spans="1:13" ht="12.75">
      <c r="A16" s="1868"/>
      <c r="B16" s="1860"/>
      <c r="C16" s="1862"/>
      <c r="D16" s="1092">
        <v>4270</v>
      </c>
      <c r="E16" s="1093">
        <f t="shared" si="3"/>
        <v>3115351</v>
      </c>
      <c r="F16" s="1093">
        <f t="shared" si="4"/>
        <v>3115351</v>
      </c>
      <c r="G16" s="1093">
        <f t="shared" si="5"/>
        <v>3115351</v>
      </c>
      <c r="H16" s="1094"/>
      <c r="I16" s="1093">
        <v>3115351</v>
      </c>
      <c r="J16" s="1094"/>
      <c r="K16" s="1094"/>
      <c r="L16" s="1095"/>
      <c r="M16" s="293"/>
    </row>
    <row r="17" spans="1:13" ht="12.75">
      <c r="A17" s="1868"/>
      <c r="B17" s="1860"/>
      <c r="C17" s="1862"/>
      <c r="D17" s="1092">
        <v>4280</v>
      </c>
      <c r="E17" s="1093">
        <f t="shared" si="3"/>
        <v>2425</v>
      </c>
      <c r="F17" s="1093">
        <f t="shared" si="4"/>
        <v>2425</v>
      </c>
      <c r="G17" s="1093">
        <f t="shared" si="5"/>
        <v>2425</v>
      </c>
      <c r="H17" s="1094"/>
      <c r="I17" s="1093">
        <v>2425</v>
      </c>
      <c r="J17" s="1094"/>
      <c r="K17" s="1094"/>
      <c r="L17" s="1095"/>
      <c r="M17" s="293"/>
    </row>
    <row r="18" spans="1:13" ht="12.75">
      <c r="A18" s="1868"/>
      <c r="B18" s="1860"/>
      <c r="C18" s="1862"/>
      <c r="D18" s="1092">
        <v>4300</v>
      </c>
      <c r="E18" s="1093">
        <f t="shared" si="3"/>
        <v>52400</v>
      </c>
      <c r="F18" s="1093">
        <f t="shared" si="4"/>
        <v>52400</v>
      </c>
      <c r="G18" s="1093">
        <f>SUM(H18:I18)</f>
        <v>52400</v>
      </c>
      <c r="H18" s="1094"/>
      <c r="I18" s="1093">
        <v>52400</v>
      </c>
      <c r="J18" s="1094"/>
      <c r="K18" s="1094"/>
      <c r="L18" s="1095"/>
      <c r="M18" s="293"/>
    </row>
    <row r="19" spans="1:13" ht="12.75">
      <c r="A19" s="1868"/>
      <c r="B19" s="1860"/>
      <c r="C19" s="1862"/>
      <c r="D19" s="1092">
        <v>4360</v>
      </c>
      <c r="E19" s="1093">
        <f t="shared" si="3"/>
        <v>2141</v>
      </c>
      <c r="F19" s="1093">
        <f t="shared" si="4"/>
        <v>2141</v>
      </c>
      <c r="G19" s="1093">
        <f t="shared" si="5"/>
        <v>2141</v>
      </c>
      <c r="H19" s="1094"/>
      <c r="I19" s="1093">
        <v>2141</v>
      </c>
      <c r="J19" s="1094"/>
      <c r="K19" s="1094"/>
      <c r="L19" s="1095"/>
      <c r="M19" s="293"/>
    </row>
    <row r="20" spans="1:13" ht="12.75">
      <c r="A20" s="1868"/>
      <c r="B20" s="1860"/>
      <c r="C20" s="1862"/>
      <c r="D20" s="1092">
        <v>4410</v>
      </c>
      <c r="E20" s="1093">
        <f t="shared" si="3"/>
        <v>1000</v>
      </c>
      <c r="F20" s="1093">
        <f t="shared" si="4"/>
        <v>1000</v>
      </c>
      <c r="G20" s="1093">
        <f t="shared" si="5"/>
        <v>1000</v>
      </c>
      <c r="H20" s="1094"/>
      <c r="I20" s="1093">
        <v>1000</v>
      </c>
      <c r="J20" s="1094"/>
      <c r="K20" s="1094"/>
      <c r="L20" s="1095"/>
      <c r="M20" s="293"/>
    </row>
    <row r="21" spans="1:13" ht="12.75">
      <c r="A21" s="1868"/>
      <c r="B21" s="1860"/>
      <c r="C21" s="1862"/>
      <c r="D21" s="1092">
        <v>4440</v>
      </c>
      <c r="E21" s="1093">
        <f t="shared" si="3"/>
        <v>38288</v>
      </c>
      <c r="F21" s="1093">
        <f t="shared" si="4"/>
        <v>38288</v>
      </c>
      <c r="G21" s="1093">
        <f t="shared" si="5"/>
        <v>38288</v>
      </c>
      <c r="H21" s="1094"/>
      <c r="I21" s="1093">
        <v>38288</v>
      </c>
      <c r="J21" s="1094"/>
      <c r="K21" s="1094"/>
      <c r="L21" s="1095"/>
      <c r="M21" s="293"/>
    </row>
    <row r="22" spans="1:13" ht="12.75">
      <c r="A22" s="1868"/>
      <c r="B22" s="1860"/>
      <c r="C22" s="1862"/>
      <c r="D22" s="1092">
        <v>4480</v>
      </c>
      <c r="E22" s="1093">
        <f t="shared" si="3"/>
        <v>1500</v>
      </c>
      <c r="F22" s="1093">
        <f t="shared" si="4"/>
        <v>1500</v>
      </c>
      <c r="G22" s="1093">
        <f t="shared" si="5"/>
        <v>1500</v>
      </c>
      <c r="H22" s="1094"/>
      <c r="I22" s="1093">
        <v>1500</v>
      </c>
      <c r="J22" s="1094"/>
      <c r="K22" s="1094"/>
      <c r="L22" s="1095"/>
      <c r="M22" s="293"/>
    </row>
    <row r="23" spans="1:13" ht="12.75">
      <c r="A23" s="1868"/>
      <c r="B23" s="1860"/>
      <c r="C23" s="1862"/>
      <c r="D23" s="1092">
        <v>4500</v>
      </c>
      <c r="E23" s="1093">
        <f t="shared" si="3"/>
        <v>2500</v>
      </c>
      <c r="F23" s="1093">
        <f t="shared" si="4"/>
        <v>2500</v>
      </c>
      <c r="G23" s="1093">
        <f t="shared" si="5"/>
        <v>2500</v>
      </c>
      <c r="H23" s="1094"/>
      <c r="I23" s="1093">
        <v>2500</v>
      </c>
      <c r="J23" s="1094"/>
      <c r="K23" s="1094"/>
      <c r="L23" s="1095"/>
      <c r="M23" s="293"/>
    </row>
    <row r="24" spans="1:13" ht="12.75">
      <c r="A24" s="1868"/>
      <c r="B24" s="1860"/>
      <c r="C24" s="1862"/>
      <c r="D24" s="1092">
        <v>4700</v>
      </c>
      <c r="E24" s="1093">
        <f t="shared" si="3"/>
        <v>1225</v>
      </c>
      <c r="F24" s="1093">
        <f t="shared" si="4"/>
        <v>1225</v>
      </c>
      <c r="G24" s="1093">
        <f t="shared" si="5"/>
        <v>1225</v>
      </c>
      <c r="H24" s="1094"/>
      <c r="I24" s="1093">
        <v>1225</v>
      </c>
      <c r="J24" s="1094"/>
      <c r="K24" s="1094"/>
      <c r="L24" s="1095"/>
      <c r="M24" s="293"/>
    </row>
    <row r="25" spans="1:13" ht="12.75">
      <c r="A25" s="1868"/>
      <c r="B25" s="1860"/>
      <c r="C25" s="1862"/>
      <c r="D25" s="1092">
        <v>6050</v>
      </c>
      <c r="E25" s="1093">
        <f t="shared" si="3"/>
        <v>2995000</v>
      </c>
      <c r="F25" s="1093"/>
      <c r="G25" s="1093"/>
      <c r="H25" s="1094"/>
      <c r="I25" s="1094"/>
      <c r="J25" s="1094"/>
      <c r="K25" s="1094"/>
      <c r="L25" s="1096">
        <v>2995000</v>
      </c>
      <c r="M25" s="293"/>
    </row>
    <row r="26" spans="1:13" ht="30.75" customHeight="1">
      <c r="A26" s="1867" t="s">
        <v>7</v>
      </c>
      <c r="B26" s="1881" t="s">
        <v>151</v>
      </c>
      <c r="C26" s="1881"/>
      <c r="D26" s="1097"/>
      <c r="E26" s="1098">
        <f>SUM(E27:E28)</f>
        <v>58075000</v>
      </c>
      <c r="F26" s="1098">
        <f>SUM(F27:F28)</f>
        <v>58075000</v>
      </c>
      <c r="G26" s="1098">
        <f>SUM(G27:G28)</f>
        <v>75000</v>
      </c>
      <c r="H26" s="1098"/>
      <c r="I26" s="1098">
        <f>SUM(I27:I28)</f>
        <v>75000</v>
      </c>
      <c r="J26" s="1098">
        <f>SUM(J27)</f>
        <v>58000000</v>
      </c>
      <c r="K26" s="1098"/>
      <c r="L26" s="1099"/>
    </row>
    <row r="27" spans="1:13" ht="27.75" customHeight="1">
      <c r="A27" s="1868"/>
      <c r="B27" s="1100" t="s">
        <v>8</v>
      </c>
      <c r="C27" s="1084" t="s">
        <v>236</v>
      </c>
      <c r="D27" s="1084">
        <v>2630</v>
      </c>
      <c r="E27" s="1089">
        <f>SUM(F27,L27)</f>
        <v>58000000</v>
      </c>
      <c r="F27" s="1089">
        <f t="shared" ref="F27:F34" si="6">SUM(G27,J27,K27)</f>
        <v>58000000</v>
      </c>
      <c r="G27" s="1089"/>
      <c r="H27" s="1089"/>
      <c r="I27" s="1089"/>
      <c r="J27" s="1089">
        <v>58000000</v>
      </c>
      <c r="K27" s="1089"/>
      <c r="L27" s="1091"/>
    </row>
    <row r="28" spans="1:13" ht="27.75" customHeight="1">
      <c r="A28" s="1868"/>
      <c r="B28" s="1100" t="s">
        <v>237</v>
      </c>
      <c r="C28" s="1084" t="s">
        <v>238</v>
      </c>
      <c r="D28" s="1084">
        <v>4300</v>
      </c>
      <c r="E28" s="1089">
        <f>SUM(F28,L28)</f>
        <v>75000</v>
      </c>
      <c r="F28" s="1089">
        <f t="shared" si="6"/>
        <v>75000</v>
      </c>
      <c r="G28" s="1089">
        <f>SUM(H28:I28)</f>
        <v>75000</v>
      </c>
      <c r="H28" s="1089"/>
      <c r="I28" s="1089">
        <v>75000</v>
      </c>
      <c r="J28" s="1090"/>
      <c r="K28" s="1090"/>
      <c r="L28" s="1101"/>
    </row>
    <row r="29" spans="1:13" ht="29.25" customHeight="1">
      <c r="A29" s="1867" t="s">
        <v>239</v>
      </c>
      <c r="B29" s="1883" t="s">
        <v>240</v>
      </c>
      <c r="C29" s="1883"/>
      <c r="D29" s="1102"/>
      <c r="E29" s="1098">
        <f>F29+L29</f>
        <v>579000</v>
      </c>
      <c r="F29" s="1098">
        <f t="shared" si="6"/>
        <v>574000</v>
      </c>
      <c r="G29" s="1098">
        <f>SUM(H29:I29)</f>
        <v>574000</v>
      </c>
      <c r="H29" s="1098">
        <f>SUM(H30,H35)</f>
        <v>387000</v>
      </c>
      <c r="I29" s="1098">
        <f>SUM(I30,I35)</f>
        <v>187000</v>
      </c>
      <c r="J29" s="1098"/>
      <c r="K29" s="1098"/>
      <c r="L29" s="1099">
        <f>SUM(L30,L35)</f>
        <v>5000</v>
      </c>
    </row>
    <row r="30" spans="1:13" ht="27" customHeight="1">
      <c r="A30" s="1868"/>
      <c r="B30" s="1859" t="s">
        <v>241</v>
      </c>
      <c r="C30" s="1861" t="s">
        <v>279</v>
      </c>
      <c r="D30" s="1084" t="s">
        <v>278</v>
      </c>
      <c r="E30" s="1089">
        <f>F30+L30</f>
        <v>474000</v>
      </c>
      <c r="F30" s="1089">
        <f t="shared" si="6"/>
        <v>474000</v>
      </c>
      <c r="G30" s="1089">
        <f>SUM(H30:I30)</f>
        <v>474000</v>
      </c>
      <c r="H30" s="1089">
        <f>SUM(H31:H34)</f>
        <v>387000</v>
      </c>
      <c r="I30" s="1089">
        <f>SUM(I31:I34)</f>
        <v>87000</v>
      </c>
      <c r="J30" s="1089"/>
      <c r="K30" s="1089"/>
      <c r="L30" s="1091"/>
    </row>
    <row r="31" spans="1:13" ht="12.75">
      <c r="A31" s="1868"/>
      <c r="B31" s="1860"/>
      <c r="C31" s="1862"/>
      <c r="D31" s="1092">
        <v>4010</v>
      </c>
      <c r="E31" s="1093">
        <f>SUM(F31,L31)</f>
        <v>322000</v>
      </c>
      <c r="F31" s="1093">
        <f t="shared" si="6"/>
        <v>322000</v>
      </c>
      <c r="G31" s="1093">
        <f>SUM(H31:I31)</f>
        <v>322000</v>
      </c>
      <c r="H31" s="1093">
        <v>322000</v>
      </c>
      <c r="I31" s="1093"/>
      <c r="J31" s="1093"/>
      <c r="K31" s="1093"/>
      <c r="L31" s="1096"/>
      <c r="M31" s="281"/>
    </row>
    <row r="32" spans="1:13" ht="12.75">
      <c r="A32" s="1868"/>
      <c r="B32" s="1860"/>
      <c r="C32" s="1862"/>
      <c r="D32" s="1092">
        <v>4110</v>
      </c>
      <c r="E32" s="1093">
        <f t="shared" ref="E32:E42" si="7">SUM(F32,L32)</f>
        <v>58000</v>
      </c>
      <c r="F32" s="1093">
        <f t="shared" si="6"/>
        <v>58000</v>
      </c>
      <c r="G32" s="1093">
        <f t="shared" ref="G32:G34" si="8">SUM(H32:I32)</f>
        <v>58000</v>
      </c>
      <c r="H32" s="1093">
        <v>58000</v>
      </c>
      <c r="I32" s="1093"/>
      <c r="J32" s="1093"/>
      <c r="K32" s="1093"/>
      <c r="L32" s="1096"/>
      <c r="M32" s="281"/>
    </row>
    <row r="33" spans="1:13" ht="12.75">
      <c r="A33" s="1868"/>
      <c r="B33" s="1860"/>
      <c r="C33" s="1862"/>
      <c r="D33" s="1092">
        <v>4120</v>
      </c>
      <c r="E33" s="1093">
        <f t="shared" si="7"/>
        <v>7000</v>
      </c>
      <c r="F33" s="1093">
        <f t="shared" si="6"/>
        <v>7000</v>
      </c>
      <c r="G33" s="1093">
        <f t="shared" si="8"/>
        <v>7000</v>
      </c>
      <c r="H33" s="1093">
        <v>7000</v>
      </c>
      <c r="I33" s="1093"/>
      <c r="J33" s="1093"/>
      <c r="K33" s="1093"/>
      <c r="L33" s="1096"/>
      <c r="M33" s="281"/>
    </row>
    <row r="34" spans="1:13" ht="12.75">
      <c r="A34" s="1868"/>
      <c r="B34" s="1860"/>
      <c r="C34" s="1862"/>
      <c r="D34" s="1092">
        <v>4300</v>
      </c>
      <c r="E34" s="1093">
        <f t="shared" si="7"/>
        <v>87000</v>
      </c>
      <c r="F34" s="1093">
        <f t="shared" si="6"/>
        <v>87000</v>
      </c>
      <c r="G34" s="1093">
        <f t="shared" si="8"/>
        <v>87000</v>
      </c>
      <c r="H34" s="1093"/>
      <c r="I34" s="1093">
        <v>87000</v>
      </c>
      <c r="J34" s="1093"/>
      <c r="K34" s="1093"/>
      <c r="L34" s="1096"/>
      <c r="M34" s="281"/>
    </row>
    <row r="35" spans="1:13" ht="27.75" customHeight="1">
      <c r="A35" s="1868"/>
      <c r="B35" s="1859" t="s">
        <v>243</v>
      </c>
      <c r="C35" s="1861" t="s">
        <v>238</v>
      </c>
      <c r="D35" s="1084" t="s">
        <v>278</v>
      </c>
      <c r="E35" s="1089">
        <f>SUM(F35,L35)</f>
        <v>105000</v>
      </c>
      <c r="F35" s="1089">
        <f>SUM(G35,J35,K35)</f>
        <v>100000</v>
      </c>
      <c r="G35" s="1089">
        <f>SUM(H35:I35)</f>
        <v>100000</v>
      </c>
      <c r="H35" s="1089"/>
      <c r="I35" s="1089">
        <f>SUM(I36:I37)</f>
        <v>100000</v>
      </c>
      <c r="J35" s="1089"/>
      <c r="K35" s="1089"/>
      <c r="L35" s="1091">
        <f>SUM(L36:L37)</f>
        <v>5000</v>
      </c>
    </row>
    <row r="36" spans="1:13" ht="12.75">
      <c r="A36" s="1868"/>
      <c r="B36" s="1860"/>
      <c r="C36" s="1862"/>
      <c r="D36" s="1092">
        <v>4270</v>
      </c>
      <c r="E36" s="1093">
        <f t="shared" si="7"/>
        <v>100000</v>
      </c>
      <c r="F36" s="1093">
        <f>SUM(G36,J36,K36)</f>
        <v>100000</v>
      </c>
      <c r="G36" s="1093">
        <f>H36+I36</f>
        <v>100000</v>
      </c>
      <c r="H36" s="1093"/>
      <c r="I36" s="1093">
        <v>100000</v>
      </c>
      <c r="J36" s="1093"/>
      <c r="K36" s="1093"/>
      <c r="L36" s="1096"/>
    </row>
    <row r="37" spans="1:13" ht="12.75">
      <c r="A37" s="1884"/>
      <c r="B37" s="1877"/>
      <c r="C37" s="1878"/>
      <c r="D37" s="1092">
        <v>6050</v>
      </c>
      <c r="E37" s="1093">
        <f t="shared" si="7"/>
        <v>5000</v>
      </c>
      <c r="F37" s="1093"/>
      <c r="G37" s="1093"/>
      <c r="H37" s="1093"/>
      <c r="I37" s="1093"/>
      <c r="J37" s="1093"/>
      <c r="K37" s="1093"/>
      <c r="L37" s="1096">
        <v>5000</v>
      </c>
    </row>
    <row r="38" spans="1:13" ht="29.25" customHeight="1">
      <c r="A38" s="1867" t="s">
        <v>4</v>
      </c>
      <c r="B38" s="1881" t="s">
        <v>18</v>
      </c>
      <c r="C38" s="1881"/>
      <c r="D38" s="1103"/>
      <c r="E38" s="1098">
        <f>SUM(F38,L38)</f>
        <v>439000</v>
      </c>
      <c r="F38" s="1098">
        <f>SUM(G38,J38,K38)</f>
        <v>439000</v>
      </c>
      <c r="G38" s="1098">
        <f>SUM(H38:I38)</f>
        <v>439000</v>
      </c>
      <c r="H38" s="1098">
        <f>SUM(H39,H43,H49)</f>
        <v>409100</v>
      </c>
      <c r="I38" s="1098">
        <f>SUM(I39,I43,I49)</f>
        <v>29900</v>
      </c>
      <c r="J38" s="1098"/>
      <c r="K38" s="1098"/>
      <c r="L38" s="1099"/>
    </row>
    <row r="39" spans="1:13" s="295" customFormat="1" ht="23.25" customHeight="1">
      <c r="A39" s="1868"/>
      <c r="B39" s="1859" t="s">
        <v>244</v>
      </c>
      <c r="C39" s="1861" t="s">
        <v>245</v>
      </c>
      <c r="D39" s="1084" t="s">
        <v>278</v>
      </c>
      <c r="E39" s="1089">
        <f t="shared" si="7"/>
        <v>382000</v>
      </c>
      <c r="F39" s="1089">
        <f>SUM(G39,J39,K39)</f>
        <v>382000</v>
      </c>
      <c r="G39" s="1089">
        <f>SUM(H39:I39)</f>
        <v>382000</v>
      </c>
      <c r="H39" s="1089">
        <f>SUM(H40:H42)</f>
        <v>382000</v>
      </c>
      <c r="I39" s="1089"/>
      <c r="J39" s="1089"/>
      <c r="K39" s="1089"/>
      <c r="L39" s="1091"/>
      <c r="M39" s="294"/>
    </row>
    <row r="40" spans="1:13" s="295" customFormat="1" ht="12.75">
      <c r="A40" s="1868"/>
      <c r="B40" s="1860"/>
      <c r="C40" s="1862"/>
      <c r="D40" s="1092">
        <v>4010</v>
      </c>
      <c r="E40" s="1093">
        <f t="shared" si="7"/>
        <v>318785</v>
      </c>
      <c r="F40" s="1093">
        <f>SUM(G40,J40,K40)</f>
        <v>318785</v>
      </c>
      <c r="G40" s="1093">
        <f>SUM(H40:I40)</f>
        <v>318785</v>
      </c>
      <c r="H40" s="1093">
        <v>318785</v>
      </c>
      <c r="I40" s="1093"/>
      <c r="J40" s="1093"/>
      <c r="K40" s="1093"/>
      <c r="L40" s="1096"/>
    </row>
    <row r="41" spans="1:13" s="295" customFormat="1" ht="12.75">
      <c r="A41" s="1868"/>
      <c r="B41" s="1860"/>
      <c r="C41" s="1862"/>
      <c r="D41" s="1092">
        <v>4110</v>
      </c>
      <c r="E41" s="1093">
        <f t="shared" si="7"/>
        <v>55405</v>
      </c>
      <c r="F41" s="1093">
        <f t="shared" ref="F41:F42" si="9">SUM(G41,J41,K41)</f>
        <v>55405</v>
      </c>
      <c r="G41" s="1093">
        <f t="shared" ref="G41:G42" si="10">SUM(H41:I41)</f>
        <v>55405</v>
      </c>
      <c r="H41" s="1093">
        <v>55405</v>
      </c>
      <c r="I41" s="1093"/>
      <c r="J41" s="1093"/>
      <c r="K41" s="1093"/>
      <c r="L41" s="1096"/>
      <c r="M41" s="294"/>
    </row>
    <row r="42" spans="1:13" s="295" customFormat="1" ht="12.75">
      <c r="A42" s="1868"/>
      <c r="B42" s="1877"/>
      <c r="C42" s="1878"/>
      <c r="D42" s="1092">
        <v>4120</v>
      </c>
      <c r="E42" s="1093">
        <f t="shared" si="7"/>
        <v>7810</v>
      </c>
      <c r="F42" s="1093">
        <f t="shared" si="9"/>
        <v>7810</v>
      </c>
      <c r="G42" s="1093">
        <f t="shared" si="10"/>
        <v>7810</v>
      </c>
      <c r="H42" s="1093">
        <v>7810</v>
      </c>
      <c r="I42" s="1093"/>
      <c r="J42" s="1093"/>
      <c r="K42" s="1093"/>
      <c r="L42" s="1096"/>
    </row>
    <row r="43" spans="1:13" ht="24" customHeight="1">
      <c r="A43" s="1868"/>
      <c r="B43" s="1859" t="s">
        <v>246</v>
      </c>
      <c r="C43" s="1861" t="s">
        <v>247</v>
      </c>
      <c r="D43" s="1084" t="s">
        <v>278</v>
      </c>
      <c r="E43" s="1089">
        <f>SUM(F43,L43)</f>
        <v>20000</v>
      </c>
      <c r="F43" s="1089">
        <f>SUM(G43,J43,K43)</f>
        <v>20000</v>
      </c>
      <c r="G43" s="1089">
        <f>SUM(H43:I43)</f>
        <v>20000</v>
      </c>
      <c r="H43" s="1089">
        <f>SUM(H44:H48)</f>
        <v>10000</v>
      </c>
      <c r="I43" s="1089">
        <f>SUM(I44:I48)</f>
        <v>10000</v>
      </c>
      <c r="J43" s="1090"/>
      <c r="K43" s="1090"/>
      <c r="L43" s="1101"/>
    </row>
    <row r="44" spans="1:13" ht="12.75">
      <c r="A44" s="1868"/>
      <c r="B44" s="1860"/>
      <c r="C44" s="1862"/>
      <c r="D44" s="1092">
        <v>4110</v>
      </c>
      <c r="E44" s="1093">
        <f>SUM(F44,L44)</f>
        <v>700</v>
      </c>
      <c r="F44" s="1093">
        <f>SUM(G44,J44,K44)</f>
        <v>700</v>
      </c>
      <c r="G44" s="1093">
        <f>SUM(H44:I44)</f>
        <v>700</v>
      </c>
      <c r="H44" s="1093">
        <v>700</v>
      </c>
      <c r="I44" s="1093"/>
      <c r="J44" s="1094"/>
      <c r="K44" s="1094"/>
      <c r="L44" s="1095"/>
    </row>
    <row r="45" spans="1:13" ht="12.75">
      <c r="A45" s="1868"/>
      <c r="B45" s="1860"/>
      <c r="C45" s="1862"/>
      <c r="D45" s="1092">
        <v>4120</v>
      </c>
      <c r="E45" s="1093">
        <f t="shared" ref="E45:E57" si="11">SUM(F45,L45)</f>
        <v>140</v>
      </c>
      <c r="F45" s="1093">
        <f t="shared" ref="F45:F48" si="12">SUM(G45,J45,K45)</f>
        <v>140</v>
      </c>
      <c r="G45" s="1093">
        <f t="shared" ref="G45:G65" si="13">SUM(H45:I45)</f>
        <v>140</v>
      </c>
      <c r="H45" s="1093">
        <v>140</v>
      </c>
      <c r="I45" s="1093"/>
      <c r="J45" s="1094"/>
      <c r="K45" s="1094"/>
      <c r="L45" s="1095"/>
    </row>
    <row r="46" spans="1:13" ht="12.75">
      <c r="A46" s="1868"/>
      <c r="B46" s="1860"/>
      <c r="C46" s="1862"/>
      <c r="D46" s="1092">
        <v>4170</v>
      </c>
      <c r="E46" s="1093">
        <f t="shared" si="11"/>
        <v>9160</v>
      </c>
      <c r="F46" s="1093">
        <f t="shared" si="12"/>
        <v>9160</v>
      </c>
      <c r="G46" s="1093">
        <f t="shared" si="13"/>
        <v>9160</v>
      </c>
      <c r="H46" s="1093">
        <v>9160</v>
      </c>
      <c r="I46" s="1093"/>
      <c r="J46" s="1094"/>
      <c r="K46" s="1094"/>
      <c r="L46" s="1095"/>
      <c r="M46" s="281"/>
    </row>
    <row r="47" spans="1:13" ht="12.75">
      <c r="A47" s="1868"/>
      <c r="B47" s="1860"/>
      <c r="C47" s="1862"/>
      <c r="D47" s="1092">
        <v>4210</v>
      </c>
      <c r="E47" s="1093">
        <f t="shared" si="11"/>
        <v>1500</v>
      </c>
      <c r="F47" s="1093">
        <f t="shared" si="12"/>
        <v>1500</v>
      </c>
      <c r="G47" s="1093">
        <f t="shared" si="13"/>
        <v>1500</v>
      </c>
      <c r="H47" s="1093"/>
      <c r="I47" s="1093">
        <v>1500</v>
      </c>
      <c r="J47" s="1094"/>
      <c r="K47" s="1094"/>
      <c r="L47" s="1095"/>
    </row>
    <row r="48" spans="1:13" ht="12.75">
      <c r="A48" s="1868"/>
      <c r="B48" s="1877"/>
      <c r="C48" s="1878"/>
      <c r="D48" s="1092">
        <v>4300</v>
      </c>
      <c r="E48" s="1093">
        <f t="shared" si="11"/>
        <v>8500</v>
      </c>
      <c r="F48" s="1093">
        <f t="shared" si="12"/>
        <v>8500</v>
      </c>
      <c r="G48" s="1093">
        <f t="shared" si="13"/>
        <v>8500</v>
      </c>
      <c r="H48" s="1093"/>
      <c r="I48" s="1093">
        <v>8500</v>
      </c>
      <c r="J48" s="1094"/>
      <c r="K48" s="1094"/>
      <c r="L48" s="1095"/>
      <c r="M48" s="281"/>
    </row>
    <row r="49" spans="1:13" s="295" customFormat="1" ht="23.25" customHeight="1">
      <c r="A49" s="1868"/>
      <c r="B49" s="1859" t="s">
        <v>248</v>
      </c>
      <c r="C49" s="1861" t="s">
        <v>249</v>
      </c>
      <c r="D49" s="1084" t="s">
        <v>278</v>
      </c>
      <c r="E49" s="1089">
        <f t="shared" si="11"/>
        <v>37000</v>
      </c>
      <c r="F49" s="1089">
        <f>SUM(G49,J49,K49)</f>
        <v>37000</v>
      </c>
      <c r="G49" s="1089">
        <f>SUM(H49:I49)</f>
        <v>37000</v>
      </c>
      <c r="H49" s="1089">
        <f>SUM(H50:H57)</f>
        <v>17100</v>
      </c>
      <c r="I49" s="1089">
        <f>SUM(I50:I57)</f>
        <v>19900</v>
      </c>
      <c r="J49" s="1089"/>
      <c r="K49" s="1089"/>
      <c r="L49" s="1091"/>
      <c r="M49" s="294"/>
    </row>
    <row r="50" spans="1:13" s="295" customFormat="1" ht="12.75">
      <c r="A50" s="1868"/>
      <c r="B50" s="1860"/>
      <c r="C50" s="1862"/>
      <c r="D50" s="1092">
        <v>4010</v>
      </c>
      <c r="E50" s="1093">
        <f t="shared" si="11"/>
        <v>13000</v>
      </c>
      <c r="F50" s="1093">
        <f>SUM(G50,J50,K50)</f>
        <v>13000</v>
      </c>
      <c r="G50" s="1093">
        <f>SUM(H50:I50)</f>
        <v>13000</v>
      </c>
      <c r="H50" s="1093">
        <v>13000</v>
      </c>
      <c r="I50" s="1093"/>
      <c r="J50" s="1093"/>
      <c r="K50" s="1093"/>
      <c r="L50" s="1096"/>
    </row>
    <row r="51" spans="1:13" s="295" customFormat="1" ht="12.75">
      <c r="A51" s="1868"/>
      <c r="B51" s="1860"/>
      <c r="C51" s="1862"/>
      <c r="D51" s="1092">
        <v>4110</v>
      </c>
      <c r="E51" s="1093">
        <f t="shared" si="11"/>
        <v>2200</v>
      </c>
      <c r="F51" s="1093">
        <f t="shared" ref="F51:F57" si="14">SUM(G51,J51,K51)</f>
        <v>2200</v>
      </c>
      <c r="G51" s="1093">
        <f t="shared" ref="G51:G57" si="15">SUM(H51:I51)</f>
        <v>2200</v>
      </c>
      <c r="H51" s="1093">
        <v>2200</v>
      </c>
      <c r="I51" s="1093"/>
      <c r="J51" s="1093"/>
      <c r="K51" s="1093"/>
      <c r="L51" s="1096"/>
    </row>
    <row r="52" spans="1:13" s="295" customFormat="1" ht="12.75">
      <c r="A52" s="1868"/>
      <c r="B52" s="1860"/>
      <c r="C52" s="1862"/>
      <c r="D52" s="1092">
        <v>4120</v>
      </c>
      <c r="E52" s="1093">
        <f t="shared" si="11"/>
        <v>400</v>
      </c>
      <c r="F52" s="1093">
        <f t="shared" si="14"/>
        <v>400</v>
      </c>
      <c r="G52" s="1093">
        <f t="shared" si="15"/>
        <v>400</v>
      </c>
      <c r="H52" s="1093">
        <v>400</v>
      </c>
      <c r="I52" s="1093"/>
      <c r="J52" s="1093"/>
      <c r="K52" s="1093"/>
      <c r="L52" s="1096"/>
    </row>
    <row r="53" spans="1:13" s="295" customFormat="1" ht="12.75">
      <c r="A53" s="1868"/>
      <c r="B53" s="1860"/>
      <c r="C53" s="1862"/>
      <c r="D53" s="1092">
        <v>4170</v>
      </c>
      <c r="E53" s="1093">
        <f t="shared" si="11"/>
        <v>1500</v>
      </c>
      <c r="F53" s="1093">
        <f t="shared" si="14"/>
        <v>1500</v>
      </c>
      <c r="G53" s="1093">
        <f t="shared" si="15"/>
        <v>1500</v>
      </c>
      <c r="H53" s="1093">
        <v>1500</v>
      </c>
      <c r="I53" s="1093"/>
      <c r="J53" s="1093"/>
      <c r="K53" s="1093"/>
      <c r="L53" s="1096"/>
    </row>
    <row r="54" spans="1:13" s="295" customFormat="1" ht="12.75">
      <c r="A54" s="1868"/>
      <c r="B54" s="1860"/>
      <c r="C54" s="1862"/>
      <c r="D54" s="1092">
        <v>4210</v>
      </c>
      <c r="E54" s="1093">
        <f t="shared" si="11"/>
        <v>12000</v>
      </c>
      <c r="F54" s="1093">
        <f t="shared" si="14"/>
        <v>12000</v>
      </c>
      <c r="G54" s="1093">
        <f t="shared" si="15"/>
        <v>12000</v>
      </c>
      <c r="H54" s="1093"/>
      <c r="I54" s="1093">
        <v>12000</v>
      </c>
      <c r="J54" s="1093"/>
      <c r="K54" s="1093"/>
      <c r="L54" s="1096"/>
    </row>
    <row r="55" spans="1:13" s="295" customFormat="1" ht="12.75">
      <c r="A55" s="1868"/>
      <c r="B55" s="1860"/>
      <c r="C55" s="1862"/>
      <c r="D55" s="1092">
        <v>4300</v>
      </c>
      <c r="E55" s="1093">
        <f t="shared" si="11"/>
        <v>3900</v>
      </c>
      <c r="F55" s="1093">
        <f t="shared" si="14"/>
        <v>3900</v>
      </c>
      <c r="G55" s="1093">
        <f t="shared" si="15"/>
        <v>3900</v>
      </c>
      <c r="H55" s="1093"/>
      <c r="I55" s="1093">
        <v>3900</v>
      </c>
      <c r="J55" s="1093"/>
      <c r="K55" s="1093"/>
      <c r="L55" s="1096"/>
    </row>
    <row r="56" spans="1:13" s="295" customFormat="1" ht="12.75">
      <c r="A56" s="1868"/>
      <c r="B56" s="1860"/>
      <c r="C56" s="1862"/>
      <c r="D56" s="1092">
        <v>4410</v>
      </c>
      <c r="E56" s="1093">
        <f t="shared" si="11"/>
        <v>3000</v>
      </c>
      <c r="F56" s="1093">
        <f t="shared" si="14"/>
        <v>3000</v>
      </c>
      <c r="G56" s="1093">
        <f t="shared" si="15"/>
        <v>3000</v>
      </c>
      <c r="H56" s="1093"/>
      <c r="I56" s="1093">
        <v>3000</v>
      </c>
      <c r="J56" s="1093"/>
      <c r="K56" s="1093"/>
      <c r="L56" s="1096"/>
      <c r="M56" s="294"/>
    </row>
    <row r="57" spans="1:13" s="295" customFormat="1" ht="12.75">
      <c r="A57" s="1884"/>
      <c r="B57" s="1877"/>
      <c r="C57" s="1878"/>
      <c r="D57" s="1092">
        <v>4700</v>
      </c>
      <c r="E57" s="1093">
        <f t="shared" si="11"/>
        <v>1000</v>
      </c>
      <c r="F57" s="1093">
        <f t="shared" si="14"/>
        <v>1000</v>
      </c>
      <c r="G57" s="1093">
        <f t="shared" si="15"/>
        <v>1000</v>
      </c>
      <c r="H57" s="1093"/>
      <c r="I57" s="1093">
        <v>1000</v>
      </c>
      <c r="J57" s="1093"/>
      <c r="K57" s="1093"/>
      <c r="L57" s="1096"/>
    </row>
    <row r="58" spans="1:13" ht="29.25" customHeight="1">
      <c r="A58" s="1879" t="s">
        <v>250</v>
      </c>
      <c r="B58" s="1881" t="s">
        <v>251</v>
      </c>
      <c r="C58" s="1881"/>
      <c r="D58" s="1103"/>
      <c r="E58" s="1098">
        <f>SUM(E59)</f>
        <v>5000</v>
      </c>
      <c r="F58" s="1098">
        <f>SUM(F59)</f>
        <v>5000</v>
      </c>
      <c r="G58" s="1098">
        <f t="shared" si="13"/>
        <v>5000</v>
      </c>
      <c r="H58" s="1098"/>
      <c r="I58" s="1098">
        <f>SUM(I59)</f>
        <v>5000</v>
      </c>
      <c r="J58" s="1098"/>
      <c r="K58" s="1098"/>
      <c r="L58" s="1099"/>
    </row>
    <row r="59" spans="1:13" ht="12.75">
      <c r="A59" s="1880"/>
      <c r="B59" s="1104" t="s">
        <v>252</v>
      </c>
      <c r="C59" s="1105" t="s">
        <v>253</v>
      </c>
      <c r="D59" s="1105">
        <v>4210</v>
      </c>
      <c r="E59" s="1106">
        <f>SUM(F59,L59)</f>
        <v>5000</v>
      </c>
      <c r="F59" s="1106">
        <f>SUM(G59,J59,K59)</f>
        <v>5000</v>
      </c>
      <c r="G59" s="1106">
        <f t="shared" si="13"/>
        <v>5000</v>
      </c>
      <c r="H59" s="1106"/>
      <c r="I59" s="1106">
        <v>5000</v>
      </c>
      <c r="J59" s="1106"/>
      <c r="K59" s="1106"/>
      <c r="L59" s="1107"/>
    </row>
    <row r="60" spans="1:13" ht="12.75">
      <c r="A60" s="1879" t="s">
        <v>136</v>
      </c>
      <c r="B60" s="1883" t="s">
        <v>254</v>
      </c>
      <c r="C60" s="1883"/>
      <c r="D60" s="1102"/>
      <c r="E60" s="1098">
        <f>SUM(E61:E63)</f>
        <v>176000</v>
      </c>
      <c r="F60" s="1098">
        <f>SUM(F61:F63)</f>
        <v>59000</v>
      </c>
      <c r="G60" s="1098">
        <f>SUM(H60:I60)</f>
        <v>59000</v>
      </c>
      <c r="H60" s="1098">
        <f>H62+H63</f>
        <v>32200</v>
      </c>
      <c r="I60" s="1098">
        <f>I62+I63</f>
        <v>26800</v>
      </c>
      <c r="J60" s="1098"/>
      <c r="K60" s="1098"/>
      <c r="L60" s="1099">
        <f>SUM(L61,L62,L63)</f>
        <v>117000</v>
      </c>
    </row>
    <row r="61" spans="1:13" ht="20.25" customHeight="1">
      <c r="A61" s="1880"/>
      <c r="B61" s="1100" t="s">
        <v>255</v>
      </c>
      <c r="C61" s="1084" t="s">
        <v>256</v>
      </c>
      <c r="D61" s="1084">
        <v>6220</v>
      </c>
      <c r="E61" s="1089">
        <f t="shared" ref="E61:E62" si="16">SUM(F61,L61)</f>
        <v>117000</v>
      </c>
      <c r="F61" s="1089"/>
      <c r="G61" s="1089"/>
      <c r="H61" s="1089"/>
      <c r="I61" s="1089"/>
      <c r="J61" s="1089"/>
      <c r="K61" s="1089"/>
      <c r="L61" s="1091">
        <v>117000</v>
      </c>
    </row>
    <row r="62" spans="1:13" ht="84.75" customHeight="1">
      <c r="A62" s="1880"/>
      <c r="B62" s="1100" t="s">
        <v>257</v>
      </c>
      <c r="C62" s="1084" t="s">
        <v>280</v>
      </c>
      <c r="D62" s="1084">
        <v>4130</v>
      </c>
      <c r="E62" s="1089">
        <f t="shared" si="16"/>
        <v>24000</v>
      </c>
      <c r="F62" s="1089">
        <f>SUM(G62,J62,K62)</f>
        <v>24000</v>
      </c>
      <c r="G62" s="1089">
        <f t="shared" si="13"/>
        <v>24000</v>
      </c>
      <c r="H62" s="1089"/>
      <c r="I62" s="1089">
        <v>24000</v>
      </c>
      <c r="J62" s="1089"/>
      <c r="K62" s="1089"/>
      <c r="L62" s="1091"/>
    </row>
    <row r="63" spans="1:13" ht="24" customHeight="1">
      <c r="A63" s="1880"/>
      <c r="B63" s="1859" t="s">
        <v>259</v>
      </c>
      <c r="C63" s="1861" t="s">
        <v>238</v>
      </c>
      <c r="D63" s="1084" t="s">
        <v>278</v>
      </c>
      <c r="E63" s="1089">
        <f>SUM(F63,L63)</f>
        <v>35000</v>
      </c>
      <c r="F63" s="1089">
        <f>SUM(G63,J63,K63)</f>
        <v>35000</v>
      </c>
      <c r="G63" s="1089">
        <f t="shared" si="13"/>
        <v>35000</v>
      </c>
      <c r="H63" s="1089">
        <f>SUM(H64:H65)</f>
        <v>32200</v>
      </c>
      <c r="I63" s="1089">
        <f>SUM(I64:I65)</f>
        <v>2800</v>
      </c>
      <c r="J63" s="1090"/>
      <c r="K63" s="1090"/>
      <c r="L63" s="1101"/>
    </row>
    <row r="64" spans="1:13" ht="12.75">
      <c r="A64" s="1880"/>
      <c r="B64" s="1860"/>
      <c r="C64" s="1862"/>
      <c r="D64" s="1092">
        <v>4170</v>
      </c>
      <c r="E64" s="1093">
        <f>SUM(F64,L64)</f>
        <v>32200</v>
      </c>
      <c r="F64" s="1093">
        <f>SUM(G64,J64,K64)</f>
        <v>32200</v>
      </c>
      <c r="G64" s="1093">
        <f t="shared" si="13"/>
        <v>32200</v>
      </c>
      <c r="H64" s="1093">
        <v>32200</v>
      </c>
      <c r="I64" s="1093"/>
      <c r="J64" s="1093"/>
      <c r="K64" s="1093"/>
      <c r="L64" s="1096"/>
    </row>
    <row r="65" spans="1:13" ht="12.75">
      <c r="A65" s="1882"/>
      <c r="B65" s="1877"/>
      <c r="C65" s="1878"/>
      <c r="D65" s="1092">
        <v>4300</v>
      </c>
      <c r="E65" s="1093">
        <f t="shared" ref="E65" si="17">SUM(F65,L65)</f>
        <v>2800</v>
      </c>
      <c r="F65" s="1093">
        <f t="shared" ref="F65" si="18">SUM(G65,J65,K65)</f>
        <v>2800</v>
      </c>
      <c r="G65" s="1093">
        <f t="shared" si="13"/>
        <v>2800</v>
      </c>
      <c r="H65" s="1093"/>
      <c r="I65" s="1093">
        <v>2800</v>
      </c>
      <c r="J65" s="1093"/>
      <c r="K65" s="1093"/>
      <c r="L65" s="1096"/>
    </row>
    <row r="66" spans="1:13" ht="32.25" customHeight="1">
      <c r="A66" s="1867" t="s">
        <v>142</v>
      </c>
      <c r="B66" s="1870" t="s">
        <v>260</v>
      </c>
      <c r="C66" s="1870"/>
      <c r="D66" s="1108"/>
      <c r="E66" s="1087">
        <f>SUM(F66,L66)</f>
        <v>2000</v>
      </c>
      <c r="F66" s="1087">
        <f t="shared" ref="F66:K66" si="19">SUM(F67)</f>
        <v>2000</v>
      </c>
      <c r="G66" s="1087">
        <f>SUM(H66:I66)</f>
        <v>1750</v>
      </c>
      <c r="H66" s="1087">
        <f>SUM(H67)</f>
        <v>1240</v>
      </c>
      <c r="I66" s="1087">
        <f t="shared" si="19"/>
        <v>510</v>
      </c>
      <c r="J66" s="1087"/>
      <c r="K66" s="1087">
        <f t="shared" si="19"/>
        <v>250</v>
      </c>
      <c r="L66" s="1088"/>
    </row>
    <row r="67" spans="1:13" s="295" customFormat="1" ht="30.75" customHeight="1">
      <c r="A67" s="1868"/>
      <c r="B67" s="1859" t="s">
        <v>261</v>
      </c>
      <c r="C67" s="1872" t="s">
        <v>262</v>
      </c>
      <c r="D67" s="1109" t="s">
        <v>278</v>
      </c>
      <c r="E67" s="1089">
        <f>SUM(F67,L67)</f>
        <v>2000</v>
      </c>
      <c r="F67" s="1089">
        <f>SUM(G67,J67,K67)</f>
        <v>2000</v>
      </c>
      <c r="G67" s="1089">
        <f>SUM(H67:I67)</f>
        <v>1750</v>
      </c>
      <c r="H67" s="1089">
        <f>SUM(H68:H70)</f>
        <v>1240</v>
      </c>
      <c r="I67" s="1089">
        <f>SUM(I68:I70)</f>
        <v>510</v>
      </c>
      <c r="J67" s="1089"/>
      <c r="K67" s="1089">
        <f t="shared" ref="K67" si="20">SUM(K68:K70)</f>
        <v>250</v>
      </c>
      <c r="L67" s="1089"/>
    </row>
    <row r="68" spans="1:13" s="295" customFormat="1" ht="12.75">
      <c r="A68" s="1868"/>
      <c r="B68" s="1860"/>
      <c r="C68" s="1873"/>
      <c r="D68" s="1110">
        <v>3030</v>
      </c>
      <c r="E68" s="1093">
        <f>SUM(F68,L68)</f>
        <v>250</v>
      </c>
      <c r="F68" s="1093">
        <f>SUM(G68,J68,K68)</f>
        <v>250</v>
      </c>
      <c r="G68" s="1093"/>
      <c r="H68" s="1093"/>
      <c r="I68" s="1093"/>
      <c r="J68" s="1093"/>
      <c r="K68" s="1093">
        <v>250</v>
      </c>
      <c r="L68" s="1096"/>
    </row>
    <row r="69" spans="1:13" s="295" customFormat="1" ht="12.75">
      <c r="A69" s="1868"/>
      <c r="B69" s="1860"/>
      <c r="C69" s="1873"/>
      <c r="D69" s="1110">
        <v>4170</v>
      </c>
      <c r="E69" s="1093">
        <f t="shared" ref="E69:E112" si="21">SUM(F69,L69)</f>
        <v>1240</v>
      </c>
      <c r="F69" s="1093">
        <f t="shared" ref="F69:F70" si="22">SUM(G69,J69,K69)</f>
        <v>1240</v>
      </c>
      <c r="G69" s="1093">
        <f t="shared" ref="G69:G70" si="23">SUM(H69:I69)</f>
        <v>1240</v>
      </c>
      <c r="H69" s="1093">
        <v>1240</v>
      </c>
      <c r="I69" s="1093"/>
      <c r="J69" s="1093"/>
      <c r="K69" s="1093"/>
      <c r="L69" s="1096"/>
    </row>
    <row r="70" spans="1:13" s="295" customFormat="1" ht="13.5" thickBot="1">
      <c r="A70" s="1869"/>
      <c r="B70" s="1871"/>
      <c r="C70" s="1874"/>
      <c r="D70" s="1111">
        <v>4210</v>
      </c>
      <c r="E70" s="1112">
        <f t="shared" si="21"/>
        <v>510</v>
      </c>
      <c r="F70" s="1112">
        <f t="shared" si="22"/>
        <v>510</v>
      </c>
      <c r="G70" s="1112">
        <f t="shared" si="23"/>
        <v>510</v>
      </c>
      <c r="H70" s="1112"/>
      <c r="I70" s="1112">
        <v>510</v>
      </c>
      <c r="J70" s="1112"/>
      <c r="K70" s="1112"/>
      <c r="L70" s="1113"/>
      <c r="M70" s="294"/>
    </row>
    <row r="71" spans="1:13" ht="25.5" customHeight="1">
      <c r="A71" s="1875" t="s">
        <v>215</v>
      </c>
      <c r="B71" s="1876" t="s">
        <v>263</v>
      </c>
      <c r="C71" s="1876"/>
      <c r="D71" s="296"/>
      <c r="E71" s="297">
        <f t="shared" si="21"/>
        <v>2920000</v>
      </c>
      <c r="F71" s="297">
        <f>SUM(G71,J71,K71)</f>
        <v>2920000</v>
      </c>
      <c r="G71" s="297">
        <f>SUM(H71:I71)</f>
        <v>2916180</v>
      </c>
      <c r="H71" s="297">
        <f>SUM(H72,H92,H113)</f>
        <v>2321985</v>
      </c>
      <c r="I71" s="297">
        <f>SUM(I72,I92,I113)</f>
        <v>594195</v>
      </c>
      <c r="J71" s="297"/>
      <c r="K71" s="297">
        <f>SUM(K72,K92,K113)</f>
        <v>3820</v>
      </c>
      <c r="L71" s="1114"/>
    </row>
    <row r="72" spans="1:13" ht="31.5" customHeight="1">
      <c r="A72" s="1868"/>
      <c r="B72" s="1859" t="s">
        <v>264</v>
      </c>
      <c r="C72" s="1861" t="s">
        <v>281</v>
      </c>
      <c r="D72" s="1084" t="s">
        <v>278</v>
      </c>
      <c r="E72" s="1089">
        <f t="shared" si="21"/>
        <v>291000</v>
      </c>
      <c r="F72" s="1089">
        <f>SUM(G72,J72,K72)</f>
        <v>291000</v>
      </c>
      <c r="G72" s="1089">
        <f>SUM(H72:I72)</f>
        <v>290300</v>
      </c>
      <c r="H72" s="1089">
        <f>SUM(H73:H91)</f>
        <v>196878</v>
      </c>
      <c r="I72" s="1089">
        <f>SUM(I73:I91)</f>
        <v>93422</v>
      </c>
      <c r="J72" s="1089"/>
      <c r="K72" s="1089">
        <f>SUM(K73:K91)</f>
        <v>700</v>
      </c>
      <c r="L72" s="1091"/>
      <c r="M72" s="281"/>
    </row>
    <row r="73" spans="1:13" ht="15" customHeight="1">
      <c r="A73" s="1868"/>
      <c r="B73" s="1860"/>
      <c r="C73" s="1862"/>
      <c r="D73" s="1092">
        <v>3020</v>
      </c>
      <c r="E73" s="1093">
        <f t="shared" si="21"/>
        <v>700</v>
      </c>
      <c r="F73" s="1093">
        <f>SUM(G73,J73,K73)</f>
        <v>700</v>
      </c>
      <c r="G73" s="1093"/>
      <c r="H73" s="1093"/>
      <c r="I73" s="1093"/>
      <c r="J73" s="1093"/>
      <c r="K73" s="1093">
        <v>700</v>
      </c>
      <c r="L73" s="1096"/>
      <c r="M73" s="281"/>
    </row>
    <row r="74" spans="1:13" ht="15" customHeight="1">
      <c r="A74" s="1868"/>
      <c r="B74" s="1860"/>
      <c r="C74" s="1862"/>
      <c r="D74" s="1092">
        <v>4010</v>
      </c>
      <c r="E74" s="1093">
        <f t="shared" si="21"/>
        <v>155220</v>
      </c>
      <c r="F74" s="1093">
        <f>SUM(G74,J74,K74)</f>
        <v>155220</v>
      </c>
      <c r="G74" s="1093">
        <f>SUM(H74:I74)</f>
        <v>155220</v>
      </c>
      <c r="H74" s="1093">
        <v>155220</v>
      </c>
      <c r="I74" s="1093"/>
      <c r="J74" s="1093"/>
      <c r="K74" s="1093"/>
      <c r="L74" s="1096"/>
    </row>
    <row r="75" spans="1:13" ht="15" customHeight="1">
      <c r="A75" s="1868"/>
      <c r="B75" s="1860"/>
      <c r="C75" s="1862"/>
      <c r="D75" s="1092">
        <v>4040</v>
      </c>
      <c r="E75" s="1093">
        <f t="shared" si="21"/>
        <v>9696</v>
      </c>
      <c r="F75" s="1093">
        <f t="shared" ref="F75:F91" si="24">SUM(G75,J75,K75)</f>
        <v>9696</v>
      </c>
      <c r="G75" s="1093">
        <f t="shared" ref="G75:G91" si="25">SUM(H75:I75)</f>
        <v>9696</v>
      </c>
      <c r="H75" s="1093">
        <v>9696</v>
      </c>
      <c r="I75" s="1093"/>
      <c r="J75" s="1093"/>
      <c r="K75" s="1093"/>
      <c r="L75" s="1096"/>
    </row>
    <row r="76" spans="1:13" ht="15" customHeight="1">
      <c r="A76" s="1868"/>
      <c r="B76" s="1860"/>
      <c r="C76" s="1862"/>
      <c r="D76" s="1092">
        <v>4110</v>
      </c>
      <c r="E76" s="1093">
        <f t="shared" si="21"/>
        <v>27921</v>
      </c>
      <c r="F76" s="1093">
        <f t="shared" si="24"/>
        <v>27921</v>
      </c>
      <c r="G76" s="1093">
        <f t="shared" si="25"/>
        <v>27921</v>
      </c>
      <c r="H76" s="1093">
        <v>27921</v>
      </c>
      <c r="I76" s="1093"/>
      <c r="J76" s="1093"/>
      <c r="K76" s="1093"/>
      <c r="L76" s="1096"/>
    </row>
    <row r="77" spans="1:13" ht="15" customHeight="1">
      <c r="A77" s="1868"/>
      <c r="B77" s="1860"/>
      <c r="C77" s="1862"/>
      <c r="D77" s="1092">
        <v>4120</v>
      </c>
      <c r="E77" s="1093">
        <f t="shared" si="21"/>
        <v>4041</v>
      </c>
      <c r="F77" s="1093">
        <f t="shared" si="24"/>
        <v>4041</v>
      </c>
      <c r="G77" s="1093">
        <f t="shared" si="25"/>
        <v>4041</v>
      </c>
      <c r="H77" s="1093">
        <v>4041</v>
      </c>
      <c r="I77" s="1093"/>
      <c r="J77" s="1093"/>
      <c r="K77" s="1093"/>
      <c r="L77" s="1096"/>
    </row>
    <row r="78" spans="1:13" ht="15" customHeight="1">
      <c r="A78" s="1868"/>
      <c r="B78" s="1860"/>
      <c r="C78" s="1862"/>
      <c r="D78" s="1092">
        <v>4140</v>
      </c>
      <c r="E78" s="1093">
        <f t="shared" si="21"/>
        <v>878</v>
      </c>
      <c r="F78" s="1093">
        <f t="shared" si="24"/>
        <v>878</v>
      </c>
      <c r="G78" s="1093">
        <f t="shared" si="25"/>
        <v>878</v>
      </c>
      <c r="H78" s="1093"/>
      <c r="I78" s="1093">
        <v>878</v>
      </c>
      <c r="J78" s="1093"/>
      <c r="K78" s="1093"/>
      <c r="L78" s="1096"/>
    </row>
    <row r="79" spans="1:13" ht="15" customHeight="1">
      <c r="A79" s="1868"/>
      <c r="B79" s="1860"/>
      <c r="C79" s="1862"/>
      <c r="D79" s="1092">
        <v>4210</v>
      </c>
      <c r="E79" s="1093">
        <f t="shared" si="21"/>
        <v>7310</v>
      </c>
      <c r="F79" s="1093">
        <f t="shared" si="24"/>
        <v>7310</v>
      </c>
      <c r="G79" s="1093">
        <f t="shared" si="25"/>
        <v>7310</v>
      </c>
      <c r="H79" s="1093"/>
      <c r="I79" s="1093">
        <v>7310</v>
      </c>
      <c r="J79" s="1093"/>
      <c r="K79" s="1093"/>
      <c r="L79" s="1096"/>
    </row>
    <row r="80" spans="1:13" ht="15" customHeight="1">
      <c r="A80" s="1868"/>
      <c r="B80" s="1860"/>
      <c r="C80" s="1862"/>
      <c r="D80" s="1092">
        <v>4260</v>
      </c>
      <c r="E80" s="1093">
        <f t="shared" si="21"/>
        <v>4877</v>
      </c>
      <c r="F80" s="1093">
        <f t="shared" si="24"/>
        <v>4877</v>
      </c>
      <c r="G80" s="1093">
        <f t="shared" si="25"/>
        <v>4877</v>
      </c>
      <c r="H80" s="1093"/>
      <c r="I80" s="1093">
        <v>4877</v>
      </c>
      <c r="J80" s="1093"/>
      <c r="K80" s="1093"/>
      <c r="L80" s="1096"/>
    </row>
    <row r="81" spans="1:13" ht="15" customHeight="1">
      <c r="A81" s="1868"/>
      <c r="B81" s="1860"/>
      <c r="C81" s="1862"/>
      <c r="D81" s="1092">
        <v>4270</v>
      </c>
      <c r="E81" s="1093">
        <f t="shared" si="21"/>
        <v>157</v>
      </c>
      <c r="F81" s="1093">
        <f t="shared" si="24"/>
        <v>157</v>
      </c>
      <c r="G81" s="1093">
        <f t="shared" si="25"/>
        <v>157</v>
      </c>
      <c r="H81" s="1093"/>
      <c r="I81" s="1093">
        <v>157</v>
      </c>
      <c r="J81" s="1093"/>
      <c r="K81" s="1093"/>
      <c r="L81" s="1096"/>
    </row>
    <row r="82" spans="1:13" ht="15" customHeight="1">
      <c r="A82" s="1868"/>
      <c r="B82" s="1860"/>
      <c r="C82" s="1862"/>
      <c r="D82" s="1092">
        <v>4280</v>
      </c>
      <c r="E82" s="1093">
        <f t="shared" si="21"/>
        <v>438</v>
      </c>
      <c r="F82" s="1093">
        <f t="shared" si="24"/>
        <v>438</v>
      </c>
      <c r="G82" s="1093">
        <f t="shared" si="25"/>
        <v>438</v>
      </c>
      <c r="H82" s="1093"/>
      <c r="I82" s="1093">
        <v>438</v>
      </c>
      <c r="J82" s="1093"/>
      <c r="K82" s="1093"/>
      <c r="L82" s="1096"/>
    </row>
    <row r="83" spans="1:13" ht="15" customHeight="1">
      <c r="A83" s="1868"/>
      <c r="B83" s="1860"/>
      <c r="C83" s="1862"/>
      <c r="D83" s="1092">
        <v>4300</v>
      </c>
      <c r="E83" s="1093">
        <f t="shared" si="21"/>
        <v>58155</v>
      </c>
      <c r="F83" s="1093">
        <f t="shared" si="24"/>
        <v>58155</v>
      </c>
      <c r="G83" s="1093">
        <f t="shared" si="25"/>
        <v>58155</v>
      </c>
      <c r="H83" s="1093"/>
      <c r="I83" s="1093">
        <v>58155</v>
      </c>
      <c r="J83" s="1093"/>
      <c r="K83" s="1093"/>
      <c r="L83" s="1096"/>
    </row>
    <row r="84" spans="1:13" ht="15" customHeight="1">
      <c r="A84" s="1868"/>
      <c r="B84" s="1860"/>
      <c r="C84" s="1862"/>
      <c r="D84" s="1092">
        <v>4360</v>
      </c>
      <c r="E84" s="1093">
        <f t="shared" si="21"/>
        <v>1129</v>
      </c>
      <c r="F84" s="1093">
        <f t="shared" si="24"/>
        <v>1129</v>
      </c>
      <c r="G84" s="1093">
        <f t="shared" si="25"/>
        <v>1129</v>
      </c>
      <c r="H84" s="1093"/>
      <c r="I84" s="1093">
        <v>1129</v>
      </c>
      <c r="J84" s="1093"/>
      <c r="K84" s="1093"/>
      <c r="L84" s="1096"/>
    </row>
    <row r="85" spans="1:13" ht="15" customHeight="1">
      <c r="A85" s="1868"/>
      <c r="B85" s="1860"/>
      <c r="C85" s="1862"/>
      <c r="D85" s="1092">
        <v>4380</v>
      </c>
      <c r="E85" s="1093">
        <f t="shared" si="21"/>
        <v>3200</v>
      </c>
      <c r="F85" s="1093">
        <f t="shared" si="24"/>
        <v>3200</v>
      </c>
      <c r="G85" s="1093">
        <f t="shared" si="25"/>
        <v>3200</v>
      </c>
      <c r="H85" s="1093"/>
      <c r="I85" s="1093">
        <v>3200</v>
      </c>
      <c r="J85" s="1093"/>
      <c r="K85" s="1093"/>
      <c r="L85" s="1096"/>
    </row>
    <row r="86" spans="1:13" ht="15" customHeight="1">
      <c r="A86" s="1868"/>
      <c r="B86" s="1860"/>
      <c r="C86" s="1862"/>
      <c r="D86" s="1092">
        <v>4400</v>
      </c>
      <c r="E86" s="1093">
        <f t="shared" si="21"/>
        <v>3547</v>
      </c>
      <c r="F86" s="1093">
        <f t="shared" si="24"/>
        <v>3547</v>
      </c>
      <c r="G86" s="1093">
        <f t="shared" si="25"/>
        <v>3547</v>
      </c>
      <c r="H86" s="1093"/>
      <c r="I86" s="1093">
        <v>3547</v>
      </c>
      <c r="J86" s="1093"/>
      <c r="K86" s="1093"/>
      <c r="L86" s="1096"/>
    </row>
    <row r="87" spans="1:13" ht="15" customHeight="1">
      <c r="A87" s="1868"/>
      <c r="B87" s="1860"/>
      <c r="C87" s="1862"/>
      <c r="D87" s="1092">
        <v>4410</v>
      </c>
      <c r="E87" s="1093">
        <f t="shared" si="21"/>
        <v>0</v>
      </c>
      <c r="F87" s="1093">
        <f t="shared" si="24"/>
        <v>0</v>
      </c>
      <c r="G87" s="1093">
        <f t="shared" si="25"/>
        <v>0</v>
      </c>
      <c r="H87" s="1093"/>
      <c r="I87" s="1093"/>
      <c r="J87" s="1093"/>
      <c r="K87" s="1093"/>
      <c r="L87" s="1096"/>
    </row>
    <row r="88" spans="1:13" ht="15" customHeight="1">
      <c r="A88" s="1868"/>
      <c r="B88" s="1860"/>
      <c r="C88" s="1862"/>
      <c r="D88" s="1092">
        <v>4440</v>
      </c>
      <c r="E88" s="1093">
        <f t="shared" si="21"/>
        <v>12034</v>
      </c>
      <c r="F88" s="1093">
        <f t="shared" si="24"/>
        <v>12034</v>
      </c>
      <c r="G88" s="1093">
        <f t="shared" si="25"/>
        <v>12034</v>
      </c>
      <c r="H88" s="1093"/>
      <c r="I88" s="1093">
        <v>12034</v>
      </c>
      <c r="J88" s="1093"/>
      <c r="K88" s="1093"/>
      <c r="L88" s="1096"/>
    </row>
    <row r="89" spans="1:13" ht="15" customHeight="1">
      <c r="A89" s="1868"/>
      <c r="B89" s="1860"/>
      <c r="C89" s="1862"/>
      <c r="D89" s="1092">
        <v>4480</v>
      </c>
      <c r="E89" s="1093">
        <f t="shared" si="21"/>
        <v>754</v>
      </c>
      <c r="F89" s="1093">
        <f t="shared" si="24"/>
        <v>754</v>
      </c>
      <c r="G89" s="1093">
        <f t="shared" si="25"/>
        <v>754</v>
      </c>
      <c r="H89" s="1093"/>
      <c r="I89" s="1093">
        <v>754</v>
      </c>
      <c r="J89" s="1093"/>
      <c r="K89" s="1093"/>
      <c r="L89" s="1096"/>
    </row>
    <row r="90" spans="1:13" ht="15" customHeight="1">
      <c r="A90" s="1868"/>
      <c r="B90" s="1860"/>
      <c r="C90" s="1862"/>
      <c r="D90" s="1092">
        <v>4520</v>
      </c>
      <c r="E90" s="1093">
        <f t="shared" si="21"/>
        <v>443</v>
      </c>
      <c r="F90" s="1093">
        <f t="shared" si="24"/>
        <v>443</v>
      </c>
      <c r="G90" s="1093">
        <f t="shared" si="25"/>
        <v>443</v>
      </c>
      <c r="H90" s="1093"/>
      <c r="I90" s="1093">
        <v>443</v>
      </c>
      <c r="J90" s="1093"/>
      <c r="K90" s="1093"/>
      <c r="L90" s="1096"/>
    </row>
    <row r="91" spans="1:13" ht="15" customHeight="1">
      <c r="A91" s="1868"/>
      <c r="B91" s="1877"/>
      <c r="C91" s="1878"/>
      <c r="D91" s="1092">
        <v>4700</v>
      </c>
      <c r="E91" s="1093">
        <f t="shared" si="21"/>
        <v>500</v>
      </c>
      <c r="F91" s="1093">
        <f t="shared" si="24"/>
        <v>500</v>
      </c>
      <c r="G91" s="1093">
        <f t="shared" si="25"/>
        <v>500</v>
      </c>
      <c r="H91" s="1093"/>
      <c r="I91" s="1093">
        <v>500</v>
      </c>
      <c r="J91" s="1093"/>
      <c r="K91" s="1093"/>
      <c r="L91" s="1096"/>
    </row>
    <row r="92" spans="1:13" ht="30" customHeight="1">
      <c r="A92" s="1868"/>
      <c r="B92" s="1859" t="s">
        <v>266</v>
      </c>
      <c r="C92" s="1861" t="s">
        <v>267</v>
      </c>
      <c r="D92" s="1084" t="s">
        <v>278</v>
      </c>
      <c r="E92" s="1089">
        <f t="shared" si="21"/>
        <v>1879000</v>
      </c>
      <c r="F92" s="1089">
        <f>SUM(G92,J92,K92)</f>
        <v>1879000</v>
      </c>
      <c r="G92" s="1089">
        <f>SUM(H92:I92)</f>
        <v>1877100</v>
      </c>
      <c r="H92" s="1089">
        <f>SUM(H93:H97)</f>
        <v>1508997</v>
      </c>
      <c r="I92" s="1089">
        <f>SUM(I98:I112)</f>
        <v>368103</v>
      </c>
      <c r="J92" s="1090"/>
      <c r="K92" s="1089">
        <f>SUM(K93)</f>
        <v>1900</v>
      </c>
      <c r="L92" s="1101"/>
    </row>
    <row r="93" spans="1:13" ht="16.5" customHeight="1">
      <c r="A93" s="1868"/>
      <c r="B93" s="1860"/>
      <c r="C93" s="1862"/>
      <c r="D93" s="1092">
        <v>3020</v>
      </c>
      <c r="E93" s="1093">
        <f t="shared" si="21"/>
        <v>1900</v>
      </c>
      <c r="F93" s="1093">
        <f>SUM(G93,J93,K93)</f>
        <v>1900</v>
      </c>
      <c r="G93" s="1093"/>
      <c r="H93" s="1093"/>
      <c r="I93" s="1093"/>
      <c r="J93" s="1094"/>
      <c r="K93" s="1093">
        <v>1900</v>
      </c>
      <c r="L93" s="1095"/>
    </row>
    <row r="94" spans="1:13" ht="15" customHeight="1">
      <c r="A94" s="1868"/>
      <c r="B94" s="1860"/>
      <c r="C94" s="1862"/>
      <c r="D94" s="1110">
        <v>4010</v>
      </c>
      <c r="E94" s="1093">
        <f t="shared" si="21"/>
        <v>1148941</v>
      </c>
      <c r="F94" s="1093">
        <f>SUM(G94,J94,K94)</f>
        <v>1148941</v>
      </c>
      <c r="G94" s="1093">
        <f t="shared" ref="G94:G112" si="26">SUM(H94:I94)</f>
        <v>1148941</v>
      </c>
      <c r="H94" s="1093">
        <v>1148941</v>
      </c>
      <c r="I94" s="1094"/>
      <c r="J94" s="1094"/>
      <c r="K94" s="1094"/>
      <c r="L94" s="1095"/>
      <c r="M94" s="281"/>
    </row>
    <row r="95" spans="1:13" ht="15" customHeight="1">
      <c r="A95" s="1868"/>
      <c r="B95" s="1860"/>
      <c r="C95" s="1862"/>
      <c r="D95" s="1110">
        <v>4040</v>
      </c>
      <c r="E95" s="1093">
        <f t="shared" si="21"/>
        <v>115087</v>
      </c>
      <c r="F95" s="1093">
        <f t="shared" ref="F95:F112" si="27">SUM(G95,J95,K95)</f>
        <v>115087</v>
      </c>
      <c r="G95" s="1093">
        <f t="shared" si="26"/>
        <v>115087</v>
      </c>
      <c r="H95" s="1093">
        <v>115087</v>
      </c>
      <c r="I95" s="1094"/>
      <c r="J95" s="1094"/>
      <c r="K95" s="1094"/>
      <c r="L95" s="1095"/>
    </row>
    <row r="96" spans="1:13" ht="15" customHeight="1">
      <c r="A96" s="1868"/>
      <c r="B96" s="1860"/>
      <c r="C96" s="1862"/>
      <c r="D96" s="1110">
        <v>4110</v>
      </c>
      <c r="E96" s="1093">
        <f t="shared" si="21"/>
        <v>214000</v>
      </c>
      <c r="F96" s="1093">
        <f t="shared" si="27"/>
        <v>214000</v>
      </c>
      <c r="G96" s="1093">
        <f t="shared" si="26"/>
        <v>214000</v>
      </c>
      <c r="H96" s="1093">
        <v>214000</v>
      </c>
      <c r="I96" s="1094"/>
      <c r="J96" s="1094"/>
      <c r="K96" s="1094"/>
      <c r="L96" s="1095"/>
    </row>
    <row r="97" spans="1:13" ht="15" customHeight="1">
      <c r="A97" s="1868"/>
      <c r="B97" s="1860"/>
      <c r="C97" s="1862"/>
      <c r="D97" s="1110">
        <v>4120</v>
      </c>
      <c r="E97" s="1093">
        <f t="shared" si="21"/>
        <v>30969</v>
      </c>
      <c r="F97" s="1093">
        <f t="shared" si="27"/>
        <v>30969</v>
      </c>
      <c r="G97" s="1093">
        <f t="shared" si="26"/>
        <v>30969</v>
      </c>
      <c r="H97" s="1093">
        <v>30969</v>
      </c>
      <c r="I97" s="1094"/>
      <c r="J97" s="1094"/>
      <c r="K97" s="1094"/>
      <c r="L97" s="1095"/>
      <c r="M97" s="281"/>
    </row>
    <row r="98" spans="1:13" ht="15" customHeight="1">
      <c r="A98" s="1868"/>
      <c r="B98" s="1860"/>
      <c r="C98" s="1862"/>
      <c r="D98" s="1110">
        <v>4140</v>
      </c>
      <c r="E98" s="1093">
        <f t="shared" si="21"/>
        <v>1000</v>
      </c>
      <c r="F98" s="1093">
        <f t="shared" si="27"/>
        <v>1000</v>
      </c>
      <c r="G98" s="1093">
        <f t="shared" si="26"/>
        <v>1000</v>
      </c>
      <c r="H98" s="1093"/>
      <c r="I98" s="1093">
        <v>1000</v>
      </c>
      <c r="J98" s="1094"/>
      <c r="K98" s="1094"/>
      <c r="L98" s="1095"/>
      <c r="M98" s="281"/>
    </row>
    <row r="99" spans="1:13" ht="15" customHeight="1">
      <c r="A99" s="1868"/>
      <c r="B99" s="1860"/>
      <c r="C99" s="1862"/>
      <c r="D99" s="1110">
        <v>4210</v>
      </c>
      <c r="E99" s="1093">
        <f t="shared" si="21"/>
        <v>26998</v>
      </c>
      <c r="F99" s="1093">
        <f t="shared" si="27"/>
        <v>26998</v>
      </c>
      <c r="G99" s="1093">
        <f t="shared" si="26"/>
        <v>26998</v>
      </c>
      <c r="H99" s="1093"/>
      <c r="I99" s="1093">
        <v>26998</v>
      </c>
      <c r="J99" s="1094"/>
      <c r="K99" s="1094"/>
      <c r="L99" s="1095"/>
      <c r="M99" s="281"/>
    </row>
    <row r="100" spans="1:13" ht="15" customHeight="1">
      <c r="A100" s="1868"/>
      <c r="B100" s="1860"/>
      <c r="C100" s="1862"/>
      <c r="D100" s="1110">
        <v>4260</v>
      </c>
      <c r="E100" s="1093">
        <f t="shared" si="21"/>
        <v>12530</v>
      </c>
      <c r="F100" s="1093">
        <f t="shared" si="27"/>
        <v>12530</v>
      </c>
      <c r="G100" s="1093">
        <f t="shared" si="26"/>
        <v>12530</v>
      </c>
      <c r="H100" s="1093"/>
      <c r="I100" s="1093">
        <v>12530</v>
      </c>
      <c r="J100" s="1094"/>
      <c r="K100" s="1094"/>
      <c r="L100" s="1095"/>
      <c r="M100" s="281"/>
    </row>
    <row r="101" spans="1:13" ht="15" customHeight="1">
      <c r="A101" s="1868"/>
      <c r="B101" s="1860"/>
      <c r="C101" s="1862"/>
      <c r="D101" s="1110">
        <v>4270</v>
      </c>
      <c r="E101" s="1093">
        <f t="shared" si="21"/>
        <v>1144</v>
      </c>
      <c r="F101" s="1093">
        <f t="shared" si="27"/>
        <v>1144</v>
      </c>
      <c r="G101" s="1093">
        <f t="shared" si="26"/>
        <v>1144</v>
      </c>
      <c r="H101" s="1093"/>
      <c r="I101" s="1093">
        <v>1144</v>
      </c>
      <c r="J101" s="1094"/>
      <c r="K101" s="1094"/>
      <c r="L101" s="1095"/>
      <c r="M101" s="281"/>
    </row>
    <row r="102" spans="1:13" ht="15" customHeight="1">
      <c r="A102" s="1868"/>
      <c r="B102" s="1860"/>
      <c r="C102" s="1862"/>
      <c r="D102" s="1110">
        <v>4280</v>
      </c>
      <c r="E102" s="1093">
        <f t="shared" si="21"/>
        <v>1500</v>
      </c>
      <c r="F102" s="1093">
        <f t="shared" si="27"/>
        <v>1500</v>
      </c>
      <c r="G102" s="1093">
        <f t="shared" si="26"/>
        <v>1500</v>
      </c>
      <c r="H102" s="1093"/>
      <c r="I102" s="1093">
        <v>1500</v>
      </c>
      <c r="J102" s="1094"/>
      <c r="K102" s="1094"/>
      <c r="L102" s="1095"/>
      <c r="M102" s="281"/>
    </row>
    <row r="103" spans="1:13" ht="15" customHeight="1">
      <c r="A103" s="1868"/>
      <c r="B103" s="1860"/>
      <c r="C103" s="1862"/>
      <c r="D103" s="1110">
        <v>4300</v>
      </c>
      <c r="E103" s="1093">
        <f t="shared" si="21"/>
        <v>251198</v>
      </c>
      <c r="F103" s="1093">
        <f t="shared" si="27"/>
        <v>251198</v>
      </c>
      <c r="G103" s="1093">
        <f t="shared" si="26"/>
        <v>251198</v>
      </c>
      <c r="H103" s="1093"/>
      <c r="I103" s="1093">
        <v>251198</v>
      </c>
      <c r="J103" s="1094"/>
      <c r="K103" s="1094"/>
      <c r="L103" s="1095"/>
      <c r="M103" s="281"/>
    </row>
    <row r="104" spans="1:13" ht="15" customHeight="1">
      <c r="A104" s="1868"/>
      <c r="B104" s="1860"/>
      <c r="C104" s="1862"/>
      <c r="D104" s="1110">
        <v>4360</v>
      </c>
      <c r="E104" s="1093">
        <f t="shared" si="21"/>
        <v>6626</v>
      </c>
      <c r="F104" s="1093">
        <f t="shared" si="27"/>
        <v>6626</v>
      </c>
      <c r="G104" s="1093">
        <f t="shared" si="26"/>
        <v>6626</v>
      </c>
      <c r="H104" s="1093"/>
      <c r="I104" s="1093">
        <v>6626</v>
      </c>
      <c r="J104" s="1094"/>
      <c r="K104" s="1094"/>
      <c r="L104" s="1095"/>
      <c r="M104" s="281"/>
    </row>
    <row r="105" spans="1:13" ht="15" customHeight="1">
      <c r="A105" s="1868"/>
      <c r="B105" s="1860"/>
      <c r="C105" s="1862"/>
      <c r="D105" s="1110">
        <v>4380</v>
      </c>
      <c r="E105" s="1093">
        <f t="shared" si="21"/>
        <v>10000</v>
      </c>
      <c r="F105" s="1093">
        <f t="shared" si="27"/>
        <v>10000</v>
      </c>
      <c r="G105" s="1093">
        <f t="shared" si="26"/>
        <v>10000</v>
      </c>
      <c r="H105" s="1093"/>
      <c r="I105" s="1093">
        <v>10000</v>
      </c>
      <c r="J105" s="1094"/>
      <c r="K105" s="1094"/>
      <c r="L105" s="1095"/>
      <c r="M105" s="281"/>
    </row>
    <row r="106" spans="1:13" ht="15" customHeight="1">
      <c r="A106" s="1868"/>
      <c r="B106" s="1860"/>
      <c r="C106" s="1862"/>
      <c r="D106" s="1110">
        <v>4400</v>
      </c>
      <c r="E106" s="1093">
        <f t="shared" si="21"/>
        <v>9840</v>
      </c>
      <c r="F106" s="1093">
        <f t="shared" si="27"/>
        <v>9840</v>
      </c>
      <c r="G106" s="1093">
        <f t="shared" si="26"/>
        <v>9840</v>
      </c>
      <c r="H106" s="1093"/>
      <c r="I106" s="1093">
        <v>9840</v>
      </c>
      <c r="J106" s="1094"/>
      <c r="K106" s="1094"/>
      <c r="L106" s="1095"/>
      <c r="M106" s="281"/>
    </row>
    <row r="107" spans="1:13" ht="15" customHeight="1">
      <c r="A107" s="1868"/>
      <c r="B107" s="1860"/>
      <c r="C107" s="1862"/>
      <c r="D107" s="1110">
        <v>4410</v>
      </c>
      <c r="E107" s="1093">
        <f t="shared" si="21"/>
        <v>200</v>
      </c>
      <c r="F107" s="1093">
        <f t="shared" si="27"/>
        <v>200</v>
      </c>
      <c r="G107" s="1093">
        <f t="shared" si="26"/>
        <v>200</v>
      </c>
      <c r="H107" s="1093"/>
      <c r="I107" s="1093">
        <v>200</v>
      </c>
      <c r="J107" s="1094"/>
      <c r="K107" s="1094"/>
      <c r="L107" s="1095"/>
      <c r="M107" s="281"/>
    </row>
    <row r="108" spans="1:13" ht="15" customHeight="1">
      <c r="A108" s="1868"/>
      <c r="B108" s="1860"/>
      <c r="C108" s="1862"/>
      <c r="D108" s="1110">
        <v>4440</v>
      </c>
      <c r="E108" s="1093">
        <f t="shared" si="21"/>
        <v>40746</v>
      </c>
      <c r="F108" s="1093">
        <f t="shared" si="27"/>
        <v>40746</v>
      </c>
      <c r="G108" s="1093">
        <f t="shared" si="26"/>
        <v>40746</v>
      </c>
      <c r="H108" s="1093"/>
      <c r="I108" s="1093">
        <v>40746</v>
      </c>
      <c r="J108" s="1094"/>
      <c r="K108" s="1094"/>
      <c r="L108" s="1095"/>
      <c r="M108" s="281"/>
    </row>
    <row r="109" spans="1:13" ht="15" customHeight="1">
      <c r="A109" s="1868"/>
      <c r="B109" s="1860"/>
      <c r="C109" s="1862"/>
      <c r="D109" s="1110">
        <v>4480</v>
      </c>
      <c r="E109" s="1093">
        <f t="shared" si="21"/>
        <v>2091</v>
      </c>
      <c r="F109" s="1093">
        <f t="shared" si="27"/>
        <v>2091</v>
      </c>
      <c r="G109" s="1093">
        <f t="shared" si="26"/>
        <v>2091</v>
      </c>
      <c r="H109" s="1093"/>
      <c r="I109" s="1093">
        <v>2091</v>
      </c>
      <c r="J109" s="1094"/>
      <c r="K109" s="1094"/>
      <c r="L109" s="1095"/>
      <c r="M109" s="281"/>
    </row>
    <row r="110" spans="1:13" ht="15" customHeight="1">
      <c r="A110" s="1868"/>
      <c r="B110" s="1860"/>
      <c r="C110" s="1862"/>
      <c r="D110" s="1110">
        <v>4520</v>
      </c>
      <c r="E110" s="1093">
        <f t="shared" si="21"/>
        <v>1230</v>
      </c>
      <c r="F110" s="1093">
        <f t="shared" si="27"/>
        <v>1230</v>
      </c>
      <c r="G110" s="1093">
        <f t="shared" si="26"/>
        <v>1230</v>
      </c>
      <c r="H110" s="1093"/>
      <c r="I110" s="1093">
        <v>1230</v>
      </c>
      <c r="J110" s="1094"/>
      <c r="K110" s="1094"/>
      <c r="L110" s="1095"/>
      <c r="M110" s="281"/>
    </row>
    <row r="111" spans="1:13" ht="15" customHeight="1">
      <c r="A111" s="1868"/>
      <c r="B111" s="1860"/>
      <c r="C111" s="1862"/>
      <c r="D111" s="1110">
        <v>4610</v>
      </c>
      <c r="E111" s="1093">
        <f t="shared" si="21"/>
        <v>1000</v>
      </c>
      <c r="F111" s="1093">
        <f t="shared" si="27"/>
        <v>1000</v>
      </c>
      <c r="G111" s="1093">
        <f t="shared" si="26"/>
        <v>1000</v>
      </c>
      <c r="H111" s="1093"/>
      <c r="I111" s="1093">
        <v>1000</v>
      </c>
      <c r="J111" s="1094"/>
      <c r="K111" s="1094"/>
      <c r="L111" s="1095"/>
      <c r="M111" s="281"/>
    </row>
    <row r="112" spans="1:13" ht="15" customHeight="1">
      <c r="A112" s="1868"/>
      <c r="B112" s="1877"/>
      <c r="C112" s="1878"/>
      <c r="D112" s="1110">
        <v>4700</v>
      </c>
      <c r="E112" s="1093">
        <f t="shared" si="21"/>
        <v>2000</v>
      </c>
      <c r="F112" s="1093">
        <f t="shared" si="27"/>
        <v>2000</v>
      </c>
      <c r="G112" s="1093">
        <f t="shared" si="26"/>
        <v>2000</v>
      </c>
      <c r="H112" s="1093"/>
      <c r="I112" s="1093">
        <v>2000</v>
      </c>
      <c r="J112" s="1094"/>
      <c r="K112" s="1094"/>
      <c r="L112" s="1095"/>
      <c r="M112" s="281"/>
    </row>
    <row r="113" spans="1:13" ht="31.5" customHeight="1">
      <c r="A113" s="1868"/>
      <c r="B113" s="1859" t="s">
        <v>268</v>
      </c>
      <c r="C113" s="1861" t="s">
        <v>282</v>
      </c>
      <c r="D113" s="1084" t="s">
        <v>278</v>
      </c>
      <c r="E113" s="1089">
        <f>SUM(F113,L113)</f>
        <v>750000</v>
      </c>
      <c r="F113" s="1089">
        <f>SUM(G113,J113,K113)</f>
        <v>750000</v>
      </c>
      <c r="G113" s="1089">
        <f>SUM(H113:I113)</f>
        <v>748780</v>
      </c>
      <c r="H113" s="1089">
        <f>SUM(H114:H132)</f>
        <v>616110</v>
      </c>
      <c r="I113" s="1089">
        <f>SUM(I119:I132)</f>
        <v>132670</v>
      </c>
      <c r="J113" s="1089"/>
      <c r="K113" s="1089">
        <f>SUM(K114)</f>
        <v>1220</v>
      </c>
      <c r="L113" s="1091"/>
      <c r="M113" s="281"/>
    </row>
    <row r="114" spans="1:13" ht="15" customHeight="1">
      <c r="A114" s="1868"/>
      <c r="B114" s="1860"/>
      <c r="C114" s="1862"/>
      <c r="D114" s="1092">
        <v>3020</v>
      </c>
      <c r="E114" s="1093">
        <f>SUM(F114,L114)</f>
        <v>1220</v>
      </c>
      <c r="F114" s="1093">
        <f>SUM(G114,J114,K114)</f>
        <v>1220</v>
      </c>
      <c r="G114" s="1093"/>
      <c r="H114" s="1093"/>
      <c r="I114" s="1093"/>
      <c r="J114" s="1093"/>
      <c r="K114" s="1093">
        <v>1220</v>
      </c>
      <c r="L114" s="1096"/>
    </row>
    <row r="115" spans="1:13" ht="15" customHeight="1">
      <c r="A115" s="1868"/>
      <c r="B115" s="1860"/>
      <c r="C115" s="1862"/>
      <c r="D115" s="1092">
        <v>4010</v>
      </c>
      <c r="E115" s="1093">
        <f>SUM(F115,L115)</f>
        <v>458726</v>
      </c>
      <c r="F115" s="1093">
        <f t="shared" ref="F115:F132" si="28">SUM(G115,J115,K115)</f>
        <v>458726</v>
      </c>
      <c r="G115" s="1093">
        <f t="shared" ref="G115:G132" si="29">SUM(H115:I115)</f>
        <v>458726</v>
      </c>
      <c r="H115" s="1093">
        <v>458726</v>
      </c>
      <c r="I115" s="1093"/>
      <c r="J115" s="1093"/>
      <c r="K115" s="1093"/>
      <c r="L115" s="1096"/>
    </row>
    <row r="116" spans="1:13" ht="15" customHeight="1">
      <c r="A116" s="1868"/>
      <c r="B116" s="1860"/>
      <c r="C116" s="1862"/>
      <c r="D116" s="1092">
        <v>4040</v>
      </c>
      <c r="E116" s="1093">
        <f>SUM(F116,L116)</f>
        <v>58322</v>
      </c>
      <c r="F116" s="1093">
        <f t="shared" si="28"/>
        <v>58322</v>
      </c>
      <c r="G116" s="1093">
        <f t="shared" si="29"/>
        <v>58322</v>
      </c>
      <c r="H116" s="1093">
        <v>58322</v>
      </c>
      <c r="I116" s="1093"/>
      <c r="J116" s="1093"/>
      <c r="K116" s="1093"/>
      <c r="L116" s="1096"/>
    </row>
    <row r="117" spans="1:13" ht="15" customHeight="1">
      <c r="A117" s="1868"/>
      <c r="B117" s="1860"/>
      <c r="C117" s="1862"/>
      <c r="D117" s="1092">
        <v>4110</v>
      </c>
      <c r="E117" s="1093">
        <f t="shared" ref="E117:E132" si="30">SUM(F117,L117)</f>
        <v>86539</v>
      </c>
      <c r="F117" s="1093">
        <f t="shared" si="28"/>
        <v>86539</v>
      </c>
      <c r="G117" s="1093">
        <f t="shared" si="29"/>
        <v>86539</v>
      </c>
      <c r="H117" s="1093">
        <v>86539</v>
      </c>
      <c r="I117" s="1093"/>
      <c r="J117" s="1093"/>
      <c r="K117" s="1093"/>
      <c r="L117" s="1096"/>
    </row>
    <row r="118" spans="1:13" ht="15" customHeight="1">
      <c r="A118" s="1868"/>
      <c r="B118" s="1860"/>
      <c r="C118" s="1862"/>
      <c r="D118" s="1092">
        <v>4120</v>
      </c>
      <c r="E118" s="1093">
        <f t="shared" si="30"/>
        <v>12523</v>
      </c>
      <c r="F118" s="1093">
        <f t="shared" si="28"/>
        <v>12523</v>
      </c>
      <c r="G118" s="1093">
        <f t="shared" si="29"/>
        <v>12523</v>
      </c>
      <c r="H118" s="1093">
        <v>12523</v>
      </c>
      <c r="I118" s="1093"/>
      <c r="J118" s="1093"/>
      <c r="K118" s="1093"/>
      <c r="L118" s="1096"/>
    </row>
    <row r="119" spans="1:13" ht="15" customHeight="1">
      <c r="A119" s="1868"/>
      <c r="B119" s="1860"/>
      <c r="C119" s="1862"/>
      <c r="D119" s="1092">
        <v>4140</v>
      </c>
      <c r="E119" s="1093">
        <f t="shared" si="30"/>
        <v>500</v>
      </c>
      <c r="F119" s="1093">
        <f t="shared" si="28"/>
        <v>500</v>
      </c>
      <c r="G119" s="1093">
        <f t="shared" si="29"/>
        <v>500</v>
      </c>
      <c r="H119" s="1093"/>
      <c r="I119" s="1093">
        <v>500</v>
      </c>
      <c r="J119" s="1093"/>
      <c r="K119" s="1093"/>
      <c r="L119" s="1096"/>
    </row>
    <row r="120" spans="1:13" ht="15" customHeight="1">
      <c r="A120" s="1868"/>
      <c r="B120" s="1860"/>
      <c r="C120" s="1862"/>
      <c r="D120" s="1092">
        <v>4210</v>
      </c>
      <c r="E120" s="1093">
        <f t="shared" si="30"/>
        <v>22755</v>
      </c>
      <c r="F120" s="1093">
        <f t="shared" si="28"/>
        <v>22755</v>
      </c>
      <c r="G120" s="1093">
        <f t="shared" si="29"/>
        <v>22755</v>
      </c>
      <c r="H120" s="1093"/>
      <c r="I120" s="1093">
        <v>22755</v>
      </c>
      <c r="J120" s="1093"/>
      <c r="K120" s="1093"/>
      <c r="L120" s="1096"/>
    </row>
    <row r="121" spans="1:13" ht="15" customHeight="1">
      <c r="A121" s="1868"/>
      <c r="B121" s="1860"/>
      <c r="C121" s="1862"/>
      <c r="D121" s="1092">
        <v>4240</v>
      </c>
      <c r="E121" s="1093">
        <f t="shared" si="30"/>
        <v>5000</v>
      </c>
      <c r="F121" s="1093">
        <f t="shared" si="28"/>
        <v>5000</v>
      </c>
      <c r="G121" s="1093">
        <f t="shared" si="29"/>
        <v>5000</v>
      </c>
      <c r="H121" s="1093"/>
      <c r="I121" s="1093">
        <v>5000</v>
      </c>
      <c r="J121" s="1093"/>
      <c r="K121" s="1093"/>
      <c r="L121" s="1096"/>
    </row>
    <row r="122" spans="1:13" ht="15" customHeight="1">
      <c r="A122" s="1868"/>
      <c r="B122" s="1860"/>
      <c r="C122" s="1862"/>
      <c r="D122" s="1092">
        <v>4260</v>
      </c>
      <c r="E122" s="1093">
        <f t="shared" si="30"/>
        <v>14000</v>
      </c>
      <c r="F122" s="1093">
        <f t="shared" si="28"/>
        <v>14000</v>
      </c>
      <c r="G122" s="1093">
        <f t="shared" si="29"/>
        <v>14000</v>
      </c>
      <c r="H122" s="1093"/>
      <c r="I122" s="1093">
        <v>14000</v>
      </c>
      <c r="J122" s="1093"/>
      <c r="K122" s="1093"/>
      <c r="L122" s="1096"/>
    </row>
    <row r="123" spans="1:13" ht="15" customHeight="1">
      <c r="A123" s="1868"/>
      <c r="B123" s="1860"/>
      <c r="C123" s="1862"/>
      <c r="D123" s="1092">
        <v>4270</v>
      </c>
      <c r="E123" s="1093">
        <f t="shared" si="30"/>
        <v>1744</v>
      </c>
      <c r="F123" s="1093">
        <f t="shared" si="28"/>
        <v>1744</v>
      </c>
      <c r="G123" s="1093">
        <f t="shared" si="29"/>
        <v>1744</v>
      </c>
      <c r="H123" s="1093"/>
      <c r="I123" s="1093">
        <v>1744</v>
      </c>
      <c r="J123" s="1093"/>
      <c r="K123" s="1093"/>
      <c r="L123" s="1096"/>
    </row>
    <row r="124" spans="1:13" ht="15" customHeight="1">
      <c r="A124" s="1868"/>
      <c r="B124" s="1860"/>
      <c r="C124" s="1862"/>
      <c r="D124" s="1092">
        <v>4280</v>
      </c>
      <c r="E124" s="1093">
        <f t="shared" si="30"/>
        <v>1200</v>
      </c>
      <c r="F124" s="1093">
        <f t="shared" si="28"/>
        <v>1200</v>
      </c>
      <c r="G124" s="1093">
        <f t="shared" si="29"/>
        <v>1200</v>
      </c>
      <c r="H124" s="1093"/>
      <c r="I124" s="1093">
        <v>1200</v>
      </c>
      <c r="J124" s="1093"/>
      <c r="K124" s="1093"/>
      <c r="L124" s="1096"/>
    </row>
    <row r="125" spans="1:13" ht="15" customHeight="1">
      <c r="A125" s="1868"/>
      <c r="B125" s="1860"/>
      <c r="C125" s="1862"/>
      <c r="D125" s="1092">
        <v>4300</v>
      </c>
      <c r="E125" s="1093">
        <f t="shared" si="30"/>
        <v>44562</v>
      </c>
      <c r="F125" s="1093">
        <f t="shared" si="28"/>
        <v>44562</v>
      </c>
      <c r="G125" s="1093">
        <f t="shared" si="29"/>
        <v>44562</v>
      </c>
      <c r="H125" s="1093"/>
      <c r="I125" s="1093">
        <v>44562</v>
      </c>
      <c r="J125" s="1093"/>
      <c r="K125" s="1093"/>
      <c r="L125" s="1096"/>
    </row>
    <row r="126" spans="1:13" ht="15" customHeight="1">
      <c r="A126" s="1868"/>
      <c r="B126" s="1860"/>
      <c r="C126" s="1862"/>
      <c r="D126" s="1092">
        <v>4360</v>
      </c>
      <c r="E126" s="1093">
        <f t="shared" si="30"/>
        <v>8860</v>
      </c>
      <c r="F126" s="1093">
        <f t="shared" si="28"/>
        <v>8860</v>
      </c>
      <c r="G126" s="1093">
        <f t="shared" si="29"/>
        <v>8860</v>
      </c>
      <c r="H126" s="1093"/>
      <c r="I126" s="1093">
        <v>8860</v>
      </c>
      <c r="J126" s="1093"/>
      <c r="K126" s="1093"/>
      <c r="L126" s="1096"/>
    </row>
    <row r="127" spans="1:13" ht="15" customHeight="1">
      <c r="A127" s="1868"/>
      <c r="B127" s="1860"/>
      <c r="C127" s="1862"/>
      <c r="D127" s="1092">
        <v>4410</v>
      </c>
      <c r="E127" s="1093">
        <f t="shared" si="30"/>
        <v>5500</v>
      </c>
      <c r="F127" s="1093">
        <f t="shared" si="28"/>
        <v>5500</v>
      </c>
      <c r="G127" s="1093">
        <f t="shared" si="29"/>
        <v>5500</v>
      </c>
      <c r="H127" s="1093"/>
      <c r="I127" s="1093">
        <v>5500</v>
      </c>
      <c r="J127" s="1093"/>
      <c r="K127" s="1093"/>
      <c r="L127" s="1096"/>
    </row>
    <row r="128" spans="1:13" ht="15" customHeight="1">
      <c r="A128" s="1868"/>
      <c r="B128" s="1860"/>
      <c r="C128" s="1862"/>
      <c r="D128" s="1092">
        <v>4430</v>
      </c>
      <c r="E128" s="1093">
        <f t="shared" si="30"/>
        <v>2500</v>
      </c>
      <c r="F128" s="1093">
        <f t="shared" si="28"/>
        <v>2500</v>
      </c>
      <c r="G128" s="1093">
        <f t="shared" si="29"/>
        <v>2500</v>
      </c>
      <c r="H128" s="1093"/>
      <c r="I128" s="1093">
        <v>2500</v>
      </c>
      <c r="J128" s="1093"/>
      <c r="K128" s="1093"/>
      <c r="L128" s="1096"/>
    </row>
    <row r="129" spans="1:12" ht="15" customHeight="1">
      <c r="A129" s="1868"/>
      <c r="B129" s="1860"/>
      <c r="C129" s="1862"/>
      <c r="D129" s="1092">
        <v>4440</v>
      </c>
      <c r="E129" s="1093">
        <f t="shared" si="30"/>
        <v>19049</v>
      </c>
      <c r="F129" s="1093">
        <f t="shared" si="28"/>
        <v>19049</v>
      </c>
      <c r="G129" s="1093">
        <f t="shared" si="29"/>
        <v>19049</v>
      </c>
      <c r="H129" s="1093"/>
      <c r="I129" s="1093">
        <v>19049</v>
      </c>
      <c r="J129" s="1093"/>
      <c r="K129" s="1093"/>
      <c r="L129" s="1096"/>
    </row>
    <row r="130" spans="1:12" ht="15" customHeight="1">
      <c r="A130" s="1868"/>
      <c r="B130" s="1860"/>
      <c r="C130" s="1862"/>
      <c r="D130" s="1092">
        <v>4480</v>
      </c>
      <c r="E130" s="1093">
        <f t="shared" si="30"/>
        <v>2000</v>
      </c>
      <c r="F130" s="1093">
        <f t="shared" si="28"/>
        <v>2000</v>
      </c>
      <c r="G130" s="1093">
        <f t="shared" si="29"/>
        <v>2000</v>
      </c>
      <c r="H130" s="1093"/>
      <c r="I130" s="1093">
        <v>2000</v>
      </c>
      <c r="J130" s="1093"/>
      <c r="K130" s="1093"/>
      <c r="L130" s="1096"/>
    </row>
    <row r="131" spans="1:12" ht="15" customHeight="1">
      <c r="A131" s="1868"/>
      <c r="B131" s="1860"/>
      <c r="C131" s="1862"/>
      <c r="D131" s="1092">
        <v>4520</v>
      </c>
      <c r="E131" s="1093">
        <f t="shared" si="30"/>
        <v>3000</v>
      </c>
      <c r="F131" s="1093">
        <f t="shared" si="28"/>
        <v>3000</v>
      </c>
      <c r="G131" s="1093">
        <f t="shared" si="29"/>
        <v>3000</v>
      </c>
      <c r="H131" s="1093"/>
      <c r="I131" s="1093">
        <v>3000</v>
      </c>
      <c r="J131" s="1093"/>
      <c r="K131" s="1093"/>
      <c r="L131" s="1096"/>
    </row>
    <row r="132" spans="1:12" ht="15" customHeight="1" thickBot="1">
      <c r="A132" s="1868"/>
      <c r="B132" s="1860"/>
      <c r="C132" s="1862"/>
      <c r="D132" s="1092">
        <v>4700</v>
      </c>
      <c r="E132" s="1093">
        <f t="shared" si="30"/>
        <v>2000</v>
      </c>
      <c r="F132" s="1093">
        <f t="shared" si="28"/>
        <v>2000</v>
      </c>
      <c r="G132" s="1093">
        <f t="shared" si="29"/>
        <v>2000</v>
      </c>
      <c r="H132" s="1093"/>
      <c r="I132" s="1093">
        <v>2000</v>
      </c>
      <c r="J132" s="1093"/>
      <c r="K132" s="1093"/>
      <c r="L132" s="1096"/>
    </row>
    <row r="133" spans="1:12" ht="35.1" customHeight="1" thickBot="1">
      <c r="A133" s="1863" t="s">
        <v>65</v>
      </c>
      <c r="B133" s="1864"/>
      <c r="C133" s="1864"/>
      <c r="D133" s="1115"/>
      <c r="E133" s="1116">
        <f t="shared" ref="E133:L133" si="31">SUM(E66,E71,E60,E58,E38,E29,E26,E6)</f>
        <v>70282000</v>
      </c>
      <c r="F133" s="1116">
        <f t="shared" si="31"/>
        <v>67165000</v>
      </c>
      <c r="G133" s="1116">
        <f>SUM(G66,G71,G60,G58,G38,G29,G26,G6)</f>
        <v>9142070</v>
      </c>
      <c r="H133" s="1116">
        <f t="shared" si="31"/>
        <v>4542835</v>
      </c>
      <c r="I133" s="1116">
        <f t="shared" si="31"/>
        <v>4599235</v>
      </c>
      <c r="J133" s="1116">
        <f t="shared" si="31"/>
        <v>58000000</v>
      </c>
      <c r="K133" s="1116">
        <f>SUM(K66,K71,K60,K58,K38,K29,K26,K6)</f>
        <v>22930</v>
      </c>
      <c r="L133" s="1116">
        <f t="shared" si="31"/>
        <v>3117000</v>
      </c>
    </row>
    <row r="134" spans="1:12" ht="12.75">
      <c r="A134" s="298"/>
      <c r="B134" s="299"/>
      <c r="E134" s="281"/>
      <c r="F134" s="281"/>
      <c r="G134" s="281"/>
      <c r="H134" s="281"/>
      <c r="I134" s="281"/>
      <c r="J134" s="281"/>
      <c r="K134" s="281"/>
      <c r="L134" s="281"/>
    </row>
    <row r="135" spans="1:12" ht="12.75">
      <c r="A135" s="298"/>
      <c r="B135" s="299"/>
      <c r="E135" s="281"/>
      <c r="F135" s="281"/>
      <c r="G135" s="281"/>
      <c r="H135" s="281"/>
      <c r="I135" s="281"/>
      <c r="J135" s="281"/>
      <c r="K135" s="281"/>
      <c r="L135" s="281"/>
    </row>
    <row r="136" spans="1:12" ht="12.75">
      <c r="A136" s="298"/>
      <c r="B136" s="299"/>
      <c r="E136" s="281"/>
      <c r="F136" s="281"/>
      <c r="G136" s="281"/>
      <c r="H136" s="281"/>
      <c r="I136" s="281"/>
      <c r="J136" s="281"/>
      <c r="K136" s="281"/>
      <c r="L136" s="281"/>
    </row>
    <row r="137" spans="1:12" ht="12.75">
      <c r="A137" s="298"/>
      <c r="B137" s="299"/>
      <c r="E137" s="281"/>
      <c r="F137" s="281"/>
      <c r="G137" s="281"/>
      <c r="H137" s="281"/>
      <c r="I137" s="281"/>
      <c r="J137" s="281"/>
      <c r="K137" s="281"/>
      <c r="L137" s="281"/>
    </row>
    <row r="138" spans="1:12" ht="12.75">
      <c r="A138" s="298"/>
      <c r="B138" s="299"/>
      <c r="E138" s="281"/>
      <c r="F138" s="281"/>
      <c r="G138" s="281"/>
      <c r="H138" s="281"/>
      <c r="I138" s="281"/>
      <c r="J138" s="281"/>
      <c r="K138" s="281"/>
      <c r="L138" s="281"/>
    </row>
    <row r="139" spans="1:12" ht="12.75">
      <c r="A139" s="1865"/>
      <c r="B139" s="1866"/>
      <c r="C139" s="1866"/>
      <c r="D139" s="1866"/>
      <c r="E139" s="1866"/>
      <c r="F139" s="1866"/>
      <c r="G139" s="1866"/>
      <c r="H139" s="1866"/>
      <c r="I139" s="1866"/>
      <c r="J139" s="1866"/>
      <c r="K139" s="1866"/>
      <c r="L139" s="1866"/>
    </row>
    <row r="140" spans="1:12" ht="12.75">
      <c r="A140" s="298"/>
      <c r="B140" s="299"/>
      <c r="F140" s="281"/>
      <c r="G140" s="281"/>
      <c r="H140" s="281"/>
      <c r="I140" s="281"/>
      <c r="J140" s="281"/>
      <c r="K140" s="281"/>
      <c r="L140" s="281"/>
    </row>
    <row r="141" spans="1:12" ht="12.75">
      <c r="A141" s="298"/>
      <c r="B141" s="299"/>
      <c r="E141" s="281"/>
      <c r="F141" s="281"/>
      <c r="G141" s="281"/>
      <c r="H141" s="281"/>
      <c r="I141" s="281"/>
      <c r="J141" s="281"/>
      <c r="K141" s="281"/>
      <c r="L141" s="281"/>
    </row>
    <row r="142" spans="1:12" ht="12.75">
      <c r="A142" s="298"/>
      <c r="B142" s="299"/>
      <c r="F142" s="281"/>
      <c r="G142" s="281"/>
      <c r="H142" s="281"/>
      <c r="I142" s="281"/>
      <c r="J142" s="281"/>
      <c r="K142" s="281"/>
      <c r="L142" s="281"/>
    </row>
    <row r="143" spans="1:12" ht="12.75">
      <c r="A143" s="298"/>
      <c r="B143" s="299"/>
      <c r="F143" s="281"/>
      <c r="G143" s="281"/>
      <c r="H143" s="281"/>
      <c r="I143" s="281"/>
      <c r="J143" s="281"/>
      <c r="K143" s="281"/>
      <c r="L143" s="281"/>
    </row>
    <row r="144" spans="1:12" ht="12.75">
      <c r="A144" s="298"/>
      <c r="B144" s="299"/>
      <c r="F144" s="281"/>
      <c r="G144" s="281"/>
      <c r="H144" s="281"/>
      <c r="I144" s="281"/>
      <c r="J144" s="281"/>
      <c r="K144" s="281"/>
      <c r="L144" s="281"/>
    </row>
    <row r="145" spans="1:12" ht="12.75">
      <c r="A145" s="298"/>
      <c r="B145" s="299"/>
      <c r="F145" s="281"/>
      <c r="G145" s="281"/>
      <c r="H145" s="281"/>
      <c r="I145" s="281"/>
      <c r="J145" s="281"/>
      <c r="K145" s="281"/>
      <c r="L145" s="281"/>
    </row>
    <row r="146" spans="1:12" ht="12.75">
      <c r="A146" s="298"/>
      <c r="B146" s="299"/>
      <c r="F146" s="281"/>
      <c r="G146" s="281"/>
      <c r="H146" s="281"/>
      <c r="I146" s="281"/>
      <c r="J146" s="281"/>
      <c r="K146" s="281"/>
      <c r="L146" s="281"/>
    </row>
    <row r="147" spans="1:12" ht="12.75">
      <c r="A147" s="300"/>
      <c r="B147" s="299"/>
      <c r="F147" s="281"/>
      <c r="G147" s="281"/>
      <c r="H147" s="281"/>
      <c r="I147" s="281"/>
      <c r="J147" s="281"/>
      <c r="K147" s="281"/>
      <c r="L147" s="281"/>
    </row>
    <row r="148" spans="1:12" ht="12.75">
      <c r="A148" s="300"/>
      <c r="B148" s="299"/>
      <c r="F148" s="281"/>
      <c r="G148" s="281"/>
      <c r="H148" s="281"/>
      <c r="I148" s="281"/>
      <c r="J148" s="281"/>
      <c r="K148" s="281"/>
      <c r="L148" s="281"/>
    </row>
    <row r="149" spans="1:12" ht="12.75">
      <c r="A149" s="300"/>
      <c r="B149" s="299"/>
      <c r="F149" s="281"/>
      <c r="G149" s="281"/>
      <c r="H149" s="281"/>
      <c r="I149" s="281"/>
      <c r="J149" s="281"/>
      <c r="K149" s="281"/>
      <c r="L149" s="281"/>
    </row>
    <row r="150" spans="1:12" ht="12.75">
      <c r="A150" s="300"/>
      <c r="B150" s="299"/>
      <c r="F150" s="281"/>
      <c r="G150" s="281"/>
      <c r="H150" s="281"/>
      <c r="I150" s="281"/>
      <c r="J150" s="281"/>
      <c r="K150" s="281"/>
      <c r="L150" s="281"/>
    </row>
    <row r="151" spans="1:12" ht="12.75">
      <c r="A151" s="300"/>
      <c r="B151" s="299"/>
      <c r="F151" s="281"/>
      <c r="G151" s="281"/>
      <c r="H151" s="281"/>
      <c r="I151" s="281"/>
      <c r="J151" s="281"/>
      <c r="K151" s="281"/>
      <c r="L151" s="281"/>
    </row>
    <row r="152" spans="1:12" ht="12.75">
      <c r="A152" s="300"/>
      <c r="B152" s="299"/>
      <c r="F152" s="281"/>
      <c r="G152" s="281"/>
      <c r="H152" s="281"/>
      <c r="I152" s="281"/>
      <c r="J152" s="281"/>
      <c r="K152" s="281"/>
      <c r="L152" s="281"/>
    </row>
    <row r="153" spans="1:12" ht="12.75">
      <c r="A153" s="300"/>
      <c r="B153" s="299"/>
      <c r="F153" s="281"/>
      <c r="G153" s="281"/>
      <c r="H153" s="281"/>
      <c r="I153" s="281"/>
      <c r="J153" s="281"/>
      <c r="K153" s="281"/>
      <c r="L153" s="281"/>
    </row>
    <row r="154" spans="1:12" ht="12.75">
      <c r="A154" s="300"/>
      <c r="B154" s="299"/>
      <c r="F154" s="281"/>
      <c r="G154" s="281"/>
      <c r="H154" s="281"/>
      <c r="I154" s="281"/>
      <c r="J154" s="281"/>
      <c r="K154" s="281"/>
      <c r="L154" s="281"/>
    </row>
    <row r="155" spans="1:12" ht="12.75">
      <c r="A155" s="300"/>
      <c r="B155" s="299"/>
      <c r="F155" s="281"/>
      <c r="G155" s="281"/>
      <c r="H155" s="281"/>
      <c r="I155" s="281"/>
      <c r="J155" s="281"/>
      <c r="K155" s="281"/>
      <c r="L155" s="281"/>
    </row>
    <row r="156" spans="1:12" ht="12.75">
      <c r="A156" s="300"/>
      <c r="B156" s="299"/>
      <c r="F156" s="281"/>
      <c r="G156" s="281"/>
      <c r="H156" s="281"/>
      <c r="I156" s="281"/>
      <c r="J156" s="281"/>
      <c r="K156" s="281"/>
      <c r="L156" s="281"/>
    </row>
    <row r="157" spans="1:12" ht="12.75">
      <c r="A157" s="300"/>
      <c r="B157" s="299"/>
      <c r="F157" s="281"/>
      <c r="G157" s="281"/>
      <c r="H157" s="281"/>
      <c r="I157" s="281"/>
      <c r="J157" s="281"/>
      <c r="K157" s="281"/>
      <c r="L157" s="281"/>
    </row>
    <row r="158" spans="1:12" ht="12.75">
      <c r="A158" s="300"/>
      <c r="B158" s="299"/>
      <c r="F158" s="281"/>
      <c r="G158" s="281"/>
      <c r="H158" s="281"/>
      <c r="I158" s="281"/>
      <c r="J158" s="281"/>
      <c r="K158" s="281"/>
      <c r="L158" s="281"/>
    </row>
    <row r="159" spans="1:12" ht="12.75">
      <c r="A159" s="300"/>
      <c r="B159" s="299"/>
      <c r="F159" s="281"/>
      <c r="G159" s="281"/>
      <c r="H159" s="281"/>
      <c r="I159" s="281"/>
      <c r="J159" s="281"/>
      <c r="K159" s="281"/>
      <c r="L159" s="281"/>
    </row>
    <row r="160" spans="1:12" ht="12.75">
      <c r="A160" s="300"/>
      <c r="B160" s="299"/>
      <c r="F160" s="281"/>
      <c r="G160" s="281"/>
      <c r="H160" s="281"/>
      <c r="I160" s="281"/>
      <c r="J160" s="281"/>
      <c r="K160" s="281"/>
      <c r="L160" s="281"/>
    </row>
    <row r="161" spans="1:13" ht="12.75">
      <c r="A161" s="300"/>
      <c r="B161" s="299"/>
      <c r="F161" s="281"/>
      <c r="G161" s="281"/>
      <c r="H161" s="281"/>
      <c r="I161" s="281"/>
      <c r="J161" s="281"/>
      <c r="K161" s="281"/>
      <c r="L161" s="281"/>
    </row>
    <row r="162" spans="1:13" ht="12.75">
      <c r="A162" s="300"/>
      <c r="B162" s="299"/>
      <c r="F162" s="281"/>
      <c r="G162" s="281"/>
      <c r="H162" s="281"/>
      <c r="I162" s="281"/>
      <c r="J162" s="281"/>
      <c r="K162" s="281"/>
      <c r="L162" s="281"/>
    </row>
    <row r="163" spans="1:13" ht="12.75">
      <c r="A163" s="300"/>
    </row>
    <row r="164" spans="1:13" ht="12.75">
      <c r="A164" s="300"/>
    </row>
    <row r="165" spans="1:13" ht="12.75">
      <c r="A165" s="300"/>
    </row>
    <row r="166" spans="1:13" ht="12.75">
      <c r="A166" s="300"/>
    </row>
    <row r="167" spans="1:13" ht="12.75">
      <c r="A167" s="300"/>
    </row>
    <row r="168" spans="1:13" s="301" customFormat="1" ht="12.75">
      <c r="A168" s="300"/>
      <c r="C168" s="1066"/>
      <c r="D168" s="1066"/>
      <c r="E168" s="1066"/>
      <c r="F168" s="1066"/>
      <c r="G168" s="1066"/>
      <c r="H168" s="1066"/>
      <c r="I168" s="1066"/>
      <c r="J168" s="1066"/>
      <c r="K168" s="1066"/>
      <c r="L168" s="1066"/>
      <c r="M168" s="1066"/>
    </row>
    <row r="169" spans="1:13" s="301" customFormat="1" ht="12.75">
      <c r="A169" s="300"/>
      <c r="C169" s="1066"/>
      <c r="D169" s="1066"/>
      <c r="E169" s="1066"/>
      <c r="F169" s="1066"/>
      <c r="G169" s="1066"/>
      <c r="H169" s="1066"/>
      <c r="I169" s="1066"/>
      <c r="J169" s="1066"/>
      <c r="K169" s="1066"/>
      <c r="L169" s="1066"/>
      <c r="M169" s="1066"/>
    </row>
    <row r="170" spans="1:13" s="301" customFormat="1" ht="12.75">
      <c r="A170" s="300"/>
      <c r="C170" s="1066"/>
      <c r="D170" s="1066"/>
      <c r="E170" s="1066"/>
      <c r="F170" s="1066"/>
      <c r="G170" s="1066"/>
      <c r="H170" s="1066"/>
      <c r="I170" s="1066"/>
      <c r="J170" s="1066"/>
      <c r="K170" s="1066"/>
      <c r="L170" s="1066"/>
      <c r="M170" s="1066"/>
    </row>
    <row r="171" spans="1:13" s="301" customFormat="1" ht="12.75">
      <c r="A171" s="300"/>
      <c r="C171" s="1066"/>
      <c r="D171" s="1066"/>
      <c r="E171" s="1066"/>
      <c r="F171" s="1066"/>
      <c r="G171" s="1066"/>
      <c r="H171" s="1066"/>
      <c r="I171" s="1066"/>
      <c r="J171" s="1066"/>
      <c r="K171" s="1066"/>
      <c r="L171" s="1066"/>
      <c r="M171" s="1066"/>
    </row>
    <row r="172" spans="1:13" s="301" customFormat="1" ht="12.75">
      <c r="A172" s="300"/>
      <c r="C172" s="1066"/>
      <c r="D172" s="1066"/>
      <c r="E172" s="1066"/>
      <c r="F172" s="1066"/>
      <c r="G172" s="1066"/>
      <c r="H172" s="1066"/>
      <c r="I172" s="1066"/>
      <c r="J172" s="1066"/>
      <c r="K172" s="1066"/>
      <c r="L172" s="1066"/>
      <c r="M172" s="1066"/>
    </row>
    <row r="173" spans="1:13" s="301" customFormat="1" ht="12.75">
      <c r="A173" s="300"/>
      <c r="C173" s="1066"/>
      <c r="D173" s="1066"/>
      <c r="E173" s="1066"/>
      <c r="F173" s="1066"/>
      <c r="G173" s="1066"/>
      <c r="H173" s="1066"/>
      <c r="I173" s="1066"/>
      <c r="J173" s="1066"/>
      <c r="K173" s="1066"/>
      <c r="L173" s="1066"/>
      <c r="M173" s="1066"/>
    </row>
    <row r="174" spans="1:13" s="301" customFormat="1" ht="12.75">
      <c r="A174" s="300"/>
      <c r="C174" s="1066"/>
      <c r="D174" s="1066"/>
      <c r="E174" s="1066"/>
      <c r="F174" s="1066"/>
      <c r="G174" s="1066"/>
      <c r="H174" s="1066"/>
      <c r="I174" s="1066"/>
      <c r="J174" s="1066"/>
      <c r="K174" s="1066"/>
      <c r="L174" s="1066"/>
      <c r="M174" s="1066"/>
    </row>
    <row r="175" spans="1:13" s="301" customFormat="1" ht="12.75">
      <c r="A175" s="300"/>
      <c r="C175" s="1066"/>
      <c r="D175" s="1066"/>
      <c r="E175" s="1066"/>
      <c r="F175" s="1066"/>
      <c r="G175" s="1066"/>
      <c r="H175" s="1066"/>
      <c r="I175" s="1066"/>
      <c r="J175" s="1066"/>
      <c r="K175" s="1066"/>
      <c r="L175" s="1066"/>
      <c r="M175" s="1066"/>
    </row>
    <row r="176" spans="1:13" s="301" customFormat="1" ht="12.75">
      <c r="A176" s="300"/>
      <c r="C176" s="1066"/>
      <c r="D176" s="1066"/>
      <c r="E176" s="1066"/>
      <c r="F176" s="1066"/>
      <c r="G176" s="1066"/>
      <c r="H176" s="1066"/>
      <c r="I176" s="1066"/>
      <c r="J176" s="1066"/>
      <c r="K176" s="1066"/>
      <c r="L176" s="1066"/>
      <c r="M176" s="1066"/>
    </row>
    <row r="177" spans="1:13" s="301" customFormat="1" ht="12.75">
      <c r="A177" s="300"/>
      <c r="C177" s="1066"/>
      <c r="D177" s="1066"/>
      <c r="E177" s="1066"/>
      <c r="F177" s="1066"/>
      <c r="G177" s="1066"/>
      <c r="H177" s="1066"/>
      <c r="I177" s="1066"/>
      <c r="J177" s="1066"/>
      <c r="K177" s="1066"/>
      <c r="L177" s="1066"/>
      <c r="M177" s="1066"/>
    </row>
    <row r="178" spans="1:13" s="301" customFormat="1" ht="12.75">
      <c r="A178" s="300"/>
      <c r="C178" s="1066"/>
      <c r="D178" s="1066"/>
      <c r="E178" s="1066"/>
      <c r="F178" s="1066"/>
      <c r="G178" s="1066"/>
      <c r="H178" s="1066"/>
      <c r="I178" s="1066"/>
      <c r="J178" s="1066"/>
      <c r="K178" s="1066"/>
      <c r="L178" s="1066"/>
      <c r="M178" s="1066"/>
    </row>
    <row r="179" spans="1:13" s="301" customFormat="1" ht="12.75">
      <c r="A179" s="300"/>
      <c r="C179" s="1066"/>
      <c r="D179" s="1066"/>
      <c r="E179" s="1066"/>
      <c r="F179" s="1066"/>
      <c r="G179" s="1066"/>
      <c r="H179" s="1066"/>
      <c r="I179" s="1066"/>
      <c r="J179" s="1066"/>
      <c r="K179" s="1066"/>
      <c r="L179" s="1066"/>
      <c r="M179" s="1066"/>
    </row>
    <row r="180" spans="1:13" s="301" customFormat="1" ht="12.75">
      <c r="A180" s="300"/>
      <c r="C180" s="1066"/>
      <c r="D180" s="1066"/>
      <c r="E180" s="1066"/>
      <c r="F180" s="1066"/>
      <c r="G180" s="1066"/>
      <c r="H180" s="1066"/>
      <c r="I180" s="1066"/>
      <c r="J180" s="1066"/>
      <c r="K180" s="1066"/>
      <c r="L180" s="1066"/>
      <c r="M180" s="1066"/>
    </row>
    <row r="181" spans="1:13" s="301" customFormat="1" ht="12.75">
      <c r="A181" s="300"/>
      <c r="C181" s="1066"/>
      <c r="D181" s="1066"/>
      <c r="E181" s="1066"/>
      <c r="F181" s="1066"/>
      <c r="G181" s="1066"/>
      <c r="H181" s="1066"/>
      <c r="I181" s="1066"/>
      <c r="J181" s="1066"/>
      <c r="K181" s="1066"/>
      <c r="L181" s="1066"/>
      <c r="M181" s="1066"/>
    </row>
    <row r="182" spans="1:13" s="301" customFormat="1" ht="12.75">
      <c r="A182" s="300"/>
      <c r="C182" s="1066"/>
      <c r="D182" s="1066"/>
      <c r="E182" s="1066"/>
      <c r="F182" s="1066"/>
      <c r="G182" s="1066"/>
      <c r="H182" s="1066"/>
      <c r="I182" s="1066"/>
      <c r="J182" s="1066"/>
      <c r="K182" s="1066"/>
      <c r="L182" s="1066"/>
      <c r="M182" s="1066"/>
    </row>
    <row r="183" spans="1:13" s="301" customFormat="1" ht="12.75">
      <c r="A183" s="300"/>
      <c r="C183" s="1066"/>
      <c r="D183" s="1066"/>
      <c r="E183" s="1066"/>
      <c r="F183" s="1066"/>
      <c r="G183" s="1066"/>
      <c r="H183" s="1066"/>
      <c r="I183" s="1066"/>
      <c r="J183" s="1066"/>
      <c r="K183" s="1066"/>
      <c r="L183" s="1066"/>
      <c r="M183" s="1066"/>
    </row>
    <row r="184" spans="1:13" s="301" customFormat="1" ht="12.75">
      <c r="A184" s="300"/>
      <c r="C184" s="1066"/>
      <c r="D184" s="1066"/>
      <c r="E184" s="1066"/>
      <c r="F184" s="1066"/>
      <c r="G184" s="1066"/>
      <c r="H184" s="1066"/>
      <c r="I184" s="1066"/>
      <c r="J184" s="1066"/>
      <c r="K184" s="1066"/>
      <c r="L184" s="1066"/>
      <c r="M184" s="1066"/>
    </row>
    <row r="185" spans="1:13" s="301" customFormat="1" ht="12.75">
      <c r="A185" s="300"/>
      <c r="C185" s="1066"/>
      <c r="D185" s="1066"/>
      <c r="E185" s="1066"/>
      <c r="F185" s="1066"/>
      <c r="G185" s="1066"/>
      <c r="H185" s="1066"/>
      <c r="I185" s="1066"/>
      <c r="J185" s="1066"/>
      <c r="K185" s="1066"/>
      <c r="L185" s="1066"/>
      <c r="M185" s="1066"/>
    </row>
    <row r="186" spans="1:13" s="301" customFormat="1" ht="12.75">
      <c r="A186" s="300"/>
      <c r="C186" s="1066"/>
      <c r="D186" s="1066"/>
      <c r="E186" s="1066"/>
      <c r="F186" s="1066"/>
      <c r="G186" s="1066"/>
      <c r="H186" s="1066"/>
      <c r="I186" s="1066"/>
      <c r="J186" s="1066"/>
      <c r="K186" s="1066"/>
      <c r="L186" s="1066"/>
      <c r="M186" s="1066"/>
    </row>
    <row r="187" spans="1:13" s="301" customFormat="1" ht="12.75">
      <c r="A187" s="300"/>
      <c r="C187" s="1066"/>
      <c r="D187" s="1066"/>
      <c r="E187" s="1066"/>
      <c r="F187" s="1066"/>
      <c r="G187" s="1066"/>
      <c r="H187" s="1066"/>
      <c r="I187" s="1066"/>
      <c r="J187" s="1066"/>
      <c r="K187" s="1066"/>
      <c r="L187" s="1066"/>
      <c r="M187" s="1066"/>
    </row>
    <row r="188" spans="1:13" s="301" customFormat="1" ht="12.75">
      <c r="A188" s="300"/>
      <c r="C188" s="1066"/>
      <c r="D188" s="1066"/>
      <c r="E188" s="1066"/>
      <c r="F188" s="1066"/>
      <c r="G188" s="1066"/>
      <c r="H188" s="1066"/>
      <c r="I188" s="1066"/>
      <c r="J188" s="1066"/>
      <c r="K188" s="1066"/>
      <c r="L188" s="1066"/>
      <c r="M188" s="1066"/>
    </row>
    <row r="189" spans="1:13" s="301" customFormat="1" ht="12.75">
      <c r="A189" s="300"/>
      <c r="C189" s="1066"/>
      <c r="D189" s="1066"/>
      <c r="E189" s="1066"/>
      <c r="F189" s="1066"/>
      <c r="G189" s="1066"/>
      <c r="H189" s="1066"/>
      <c r="I189" s="1066"/>
      <c r="J189" s="1066"/>
      <c r="K189" s="1066"/>
      <c r="L189" s="1066"/>
      <c r="M189" s="1066"/>
    </row>
    <row r="190" spans="1:13" s="301" customFormat="1" ht="12.75">
      <c r="A190" s="300"/>
      <c r="C190" s="1066"/>
      <c r="D190" s="1066"/>
      <c r="E190" s="1066"/>
      <c r="F190" s="1066"/>
      <c r="G190" s="1066"/>
      <c r="H190" s="1066"/>
      <c r="I190" s="1066"/>
      <c r="J190" s="1066"/>
      <c r="K190" s="1066"/>
      <c r="L190" s="1066"/>
      <c r="M190" s="1066"/>
    </row>
    <row r="191" spans="1:13" s="301" customFormat="1" ht="12.75">
      <c r="A191" s="300"/>
      <c r="C191" s="1066"/>
      <c r="D191" s="1066"/>
      <c r="E191" s="1066"/>
      <c r="F191" s="1066"/>
      <c r="G191" s="1066"/>
      <c r="H191" s="1066"/>
      <c r="I191" s="1066"/>
      <c r="J191" s="1066"/>
      <c r="K191" s="1066"/>
      <c r="L191" s="1066"/>
      <c r="M191" s="1066"/>
    </row>
    <row r="192" spans="1:13" s="301" customFormat="1" ht="12.75">
      <c r="A192" s="300"/>
      <c r="C192" s="1066"/>
      <c r="D192" s="1066"/>
      <c r="E192" s="1066"/>
      <c r="F192" s="1066"/>
      <c r="G192" s="1066"/>
      <c r="H192" s="1066"/>
      <c r="I192" s="1066"/>
      <c r="J192" s="1066"/>
      <c r="K192" s="1066"/>
      <c r="L192" s="1066"/>
      <c r="M192" s="1066"/>
    </row>
    <row r="193" spans="1:13" s="301" customFormat="1" ht="12.75">
      <c r="A193" s="300"/>
      <c r="C193" s="1066"/>
      <c r="D193" s="1066"/>
      <c r="E193" s="1066"/>
      <c r="F193" s="1066"/>
      <c r="G193" s="1066"/>
      <c r="H193" s="1066"/>
      <c r="I193" s="1066"/>
      <c r="J193" s="1066"/>
      <c r="K193" s="1066"/>
      <c r="L193" s="1066"/>
      <c r="M193" s="1066"/>
    </row>
    <row r="194" spans="1:13" s="301" customFormat="1" ht="12.75">
      <c r="A194" s="300"/>
      <c r="C194" s="1066"/>
      <c r="D194" s="1066"/>
      <c r="E194" s="1066"/>
      <c r="F194" s="1066"/>
      <c r="G194" s="1066"/>
      <c r="H194" s="1066"/>
      <c r="I194" s="1066"/>
      <c r="J194" s="1066"/>
      <c r="K194" s="1066"/>
      <c r="L194" s="1066"/>
      <c r="M194" s="1066"/>
    </row>
    <row r="195" spans="1:13" s="301" customFormat="1" ht="12.75">
      <c r="A195" s="300"/>
      <c r="C195" s="1066"/>
      <c r="D195" s="1066"/>
      <c r="E195" s="1066"/>
      <c r="F195" s="1066"/>
      <c r="G195" s="1066"/>
      <c r="H195" s="1066"/>
      <c r="I195" s="1066"/>
      <c r="J195" s="1066"/>
      <c r="K195" s="1066"/>
      <c r="L195" s="1066"/>
      <c r="M195" s="1066"/>
    </row>
    <row r="196" spans="1:13" s="301" customFormat="1" ht="12.75">
      <c r="A196" s="300"/>
      <c r="C196" s="1066"/>
      <c r="D196" s="1066"/>
      <c r="E196" s="1066"/>
      <c r="F196" s="1066"/>
      <c r="G196" s="1066"/>
      <c r="H196" s="1066"/>
      <c r="I196" s="1066"/>
      <c r="J196" s="1066"/>
      <c r="K196" s="1066"/>
      <c r="L196" s="1066"/>
      <c r="M196" s="1066"/>
    </row>
    <row r="197" spans="1:13" s="301" customFormat="1" ht="12.75">
      <c r="A197" s="300"/>
      <c r="C197" s="1066"/>
      <c r="D197" s="1066"/>
      <c r="E197" s="1066"/>
      <c r="F197" s="1066"/>
      <c r="G197" s="1066"/>
      <c r="H197" s="1066"/>
      <c r="I197" s="1066"/>
      <c r="J197" s="1066"/>
      <c r="K197" s="1066"/>
      <c r="L197" s="1066"/>
      <c r="M197" s="1066"/>
    </row>
    <row r="198" spans="1:13" s="301" customFormat="1" ht="12.75">
      <c r="A198" s="300"/>
      <c r="C198" s="1066"/>
      <c r="D198" s="1066"/>
      <c r="E198" s="1066"/>
      <c r="F198" s="1066"/>
      <c r="G198" s="1066"/>
      <c r="H198" s="1066"/>
      <c r="I198" s="1066"/>
      <c r="J198" s="1066"/>
      <c r="K198" s="1066"/>
      <c r="L198" s="1066"/>
      <c r="M198" s="1066"/>
    </row>
    <row r="199" spans="1:13" s="301" customFormat="1" ht="12.75">
      <c r="A199" s="300"/>
      <c r="C199" s="1066"/>
      <c r="D199" s="1066"/>
      <c r="E199" s="1066"/>
      <c r="F199" s="1066"/>
      <c r="G199" s="1066"/>
      <c r="H199" s="1066"/>
      <c r="I199" s="1066"/>
      <c r="J199" s="1066"/>
      <c r="K199" s="1066"/>
      <c r="L199" s="1066"/>
      <c r="M199" s="1066"/>
    </row>
    <row r="200" spans="1:13" s="301" customFormat="1" ht="12.75">
      <c r="A200" s="300"/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</row>
    <row r="201" spans="1:13" s="301" customFormat="1" ht="12.75">
      <c r="A201" s="300"/>
      <c r="C201" s="1066"/>
      <c r="D201" s="1066"/>
      <c r="E201" s="1066"/>
      <c r="F201" s="1066"/>
      <c r="G201" s="1066"/>
      <c r="H201" s="1066"/>
      <c r="I201" s="1066"/>
      <c r="J201" s="1066"/>
      <c r="K201" s="1066"/>
      <c r="L201" s="1066"/>
      <c r="M201" s="1066"/>
    </row>
    <row r="202" spans="1:13" s="301" customFormat="1" ht="12.75">
      <c r="A202" s="300"/>
      <c r="C202" s="1066"/>
      <c r="D202" s="1066"/>
      <c r="E202" s="1066"/>
      <c r="F202" s="1066"/>
      <c r="G202" s="1066"/>
      <c r="H202" s="1066"/>
      <c r="I202" s="1066"/>
      <c r="J202" s="1066"/>
      <c r="K202" s="1066"/>
      <c r="L202" s="1066"/>
      <c r="M202" s="1066"/>
    </row>
    <row r="203" spans="1:13" s="301" customFormat="1" ht="12.75">
      <c r="A203" s="300"/>
      <c r="C203" s="1066"/>
      <c r="D203" s="1066"/>
      <c r="E203" s="1066"/>
      <c r="F203" s="1066"/>
      <c r="G203" s="1066"/>
      <c r="H203" s="1066"/>
      <c r="I203" s="1066"/>
      <c r="J203" s="1066"/>
      <c r="K203" s="1066"/>
      <c r="L203" s="1066"/>
      <c r="M203" s="1066"/>
    </row>
    <row r="204" spans="1:13" s="301" customFormat="1" ht="12.75">
      <c r="A204" s="300"/>
      <c r="C204" s="1066"/>
      <c r="D204" s="1066"/>
      <c r="E204" s="1066"/>
      <c r="F204" s="1066"/>
      <c r="G204" s="1066"/>
      <c r="H204" s="1066"/>
      <c r="I204" s="1066"/>
      <c r="J204" s="1066"/>
      <c r="K204" s="1066"/>
      <c r="L204" s="1066"/>
      <c r="M204" s="1066"/>
    </row>
    <row r="205" spans="1:13" s="301" customFormat="1" ht="12.75">
      <c r="A205" s="300"/>
      <c r="C205" s="1066"/>
      <c r="D205" s="1066"/>
      <c r="E205" s="1066"/>
      <c r="F205" s="1066"/>
      <c r="G205" s="1066"/>
      <c r="H205" s="1066"/>
      <c r="I205" s="1066"/>
      <c r="J205" s="1066"/>
      <c r="K205" s="1066"/>
      <c r="L205" s="1066"/>
      <c r="M205" s="1066"/>
    </row>
    <row r="271" spans="5:5">
      <c r="E271" s="1067">
        <f>115000000+12000000</f>
        <v>127000000</v>
      </c>
    </row>
    <row r="379" spans="5:5">
      <c r="E379" s="1067"/>
    </row>
  </sheetData>
  <mergeCells count="54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25"/>
    <mergeCell ref="B6:C6"/>
    <mergeCell ref="B7:B25"/>
    <mergeCell ref="C7:C25"/>
    <mergeCell ref="A26:A28"/>
    <mergeCell ref="B26:C26"/>
    <mergeCell ref="A29:A37"/>
    <mergeCell ref="B29:C29"/>
    <mergeCell ref="B30:B34"/>
    <mergeCell ref="C30:C34"/>
    <mergeCell ref="B35:B37"/>
    <mergeCell ref="C35:C37"/>
    <mergeCell ref="A38:A57"/>
    <mergeCell ref="B38:C38"/>
    <mergeCell ref="B39:B42"/>
    <mergeCell ref="C39:C42"/>
    <mergeCell ref="B43:B48"/>
    <mergeCell ref="C43:C48"/>
    <mergeCell ref="B49:B57"/>
    <mergeCell ref="C49:C57"/>
    <mergeCell ref="A58:A59"/>
    <mergeCell ref="B58:C58"/>
    <mergeCell ref="A60:A65"/>
    <mergeCell ref="B60:C60"/>
    <mergeCell ref="B63:B65"/>
    <mergeCell ref="C63:C65"/>
    <mergeCell ref="B113:B132"/>
    <mergeCell ref="C113:C132"/>
    <mergeCell ref="A133:C133"/>
    <mergeCell ref="A139:L139"/>
    <mergeCell ref="A66:A70"/>
    <mergeCell ref="B66:C66"/>
    <mergeCell ref="B67:B70"/>
    <mergeCell ref="C67:C70"/>
    <mergeCell ref="A71:A132"/>
    <mergeCell ref="B71:C71"/>
    <mergeCell ref="B72:B91"/>
    <mergeCell ref="C72:C91"/>
    <mergeCell ref="B92:B112"/>
    <mergeCell ref="C92:C112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2" manualBreakCount="2">
    <brk id="65" max="11" man="1"/>
    <brk id="128" max="11" man="1"/>
  </rowBreaks>
  <colBreaks count="1" manualBreakCount="1">
    <brk id="1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290"/>
  <sheetViews>
    <sheetView view="pageBreakPreview" zoomScaleNormal="75" zoomScaleSheetLayoutView="100" workbookViewId="0">
      <selection activeCell="K2" sqref="K2"/>
    </sheetView>
  </sheetViews>
  <sheetFormatPr defaultRowHeight="15.75"/>
  <cols>
    <col min="1" max="1" width="8.140625" style="303" customWidth="1"/>
    <col min="2" max="2" width="10.42578125" style="303" customWidth="1"/>
    <col min="3" max="3" width="9.42578125" style="301" customWidth="1"/>
    <col min="4" max="4" width="36.5703125" style="8" customWidth="1"/>
    <col min="5" max="5" width="12.140625" style="8" bestFit="1" customWidth="1"/>
    <col min="6" max="6" width="15.7109375" style="8" customWidth="1"/>
    <col min="7" max="7" width="16.5703125" style="8" customWidth="1"/>
    <col min="8" max="16384" width="9.140625" style="8"/>
  </cols>
  <sheetData>
    <row r="1" spans="1:7" ht="57" customHeight="1">
      <c r="A1" s="53"/>
      <c r="B1" s="53"/>
      <c r="C1" s="304"/>
      <c r="D1" s="305"/>
      <c r="E1" s="1902" t="s">
        <v>1128</v>
      </c>
      <c r="F1" s="1902"/>
      <c r="G1" s="1902"/>
    </row>
    <row r="2" spans="1:7" ht="84.75" customHeight="1" thickBot="1">
      <c r="A2" s="1703" t="s">
        <v>283</v>
      </c>
      <c r="B2" s="1703"/>
      <c r="C2" s="1703"/>
      <c r="D2" s="1703"/>
      <c r="E2" s="1703"/>
      <c r="F2" s="1703"/>
      <c r="G2" s="1703"/>
    </row>
    <row r="3" spans="1:7" ht="35.25" customHeight="1">
      <c r="A3" s="1903" t="s">
        <v>0</v>
      </c>
      <c r="B3" s="1905" t="s">
        <v>1</v>
      </c>
      <c r="C3" s="1905" t="s">
        <v>5</v>
      </c>
      <c r="D3" s="1907" t="s">
        <v>68</v>
      </c>
      <c r="E3" s="1909" t="s">
        <v>284</v>
      </c>
      <c r="F3" s="1910" t="s">
        <v>285</v>
      </c>
      <c r="G3" s="1911"/>
    </row>
    <row r="4" spans="1:7" ht="28.5" customHeight="1" thickBot="1">
      <c r="A4" s="1904"/>
      <c r="B4" s="1906"/>
      <c r="C4" s="1906"/>
      <c r="D4" s="1908"/>
      <c r="E4" s="1906"/>
      <c r="F4" s="306" t="s">
        <v>286</v>
      </c>
      <c r="G4" s="307" t="s">
        <v>287</v>
      </c>
    </row>
    <row r="5" spans="1:7" ht="31.5" customHeight="1" thickBot="1">
      <c r="A5" s="1912" t="s">
        <v>122</v>
      </c>
      <c r="B5" s="1915" t="s">
        <v>233</v>
      </c>
      <c r="C5" s="1916"/>
      <c r="D5" s="1917"/>
      <c r="E5" s="308">
        <f>SUM(E6)</f>
        <v>76842</v>
      </c>
      <c r="F5" s="309">
        <f>SUM(F6)</f>
        <v>73000</v>
      </c>
      <c r="G5" s="310">
        <f>SUM(G6)</f>
        <v>3842</v>
      </c>
    </row>
    <row r="6" spans="1:7" ht="29.25" customHeight="1">
      <c r="A6" s="1913"/>
      <c r="B6" s="1918" t="s">
        <v>234</v>
      </c>
      <c r="C6" s="1921" t="s">
        <v>235</v>
      </c>
      <c r="D6" s="1922"/>
      <c r="E6" s="311">
        <f>SUM(E7:E8)</f>
        <v>76842</v>
      </c>
      <c r="F6" s="312">
        <f>SUM(F7:F8)</f>
        <v>73000</v>
      </c>
      <c r="G6" s="313">
        <f>SUM(G7:G8)</f>
        <v>3842</v>
      </c>
    </row>
    <row r="7" spans="1:7" ht="27.75" customHeight="1">
      <c r="A7" s="1913"/>
      <c r="B7" s="1919"/>
      <c r="C7" s="314">
        <v>2350</v>
      </c>
      <c r="D7" s="315"/>
      <c r="E7" s="316">
        <f>F7+G7</f>
        <v>73000</v>
      </c>
      <c r="F7" s="317">
        <v>73000</v>
      </c>
      <c r="G7" s="318"/>
    </row>
    <row r="8" spans="1:7" ht="27.75" customHeight="1" thickBot="1">
      <c r="A8" s="1914"/>
      <c r="B8" s="1920"/>
      <c r="C8" s="319">
        <v>2360</v>
      </c>
      <c r="D8" s="320"/>
      <c r="E8" s="316">
        <f>F8+G8</f>
        <v>3842</v>
      </c>
      <c r="F8" s="321"/>
      <c r="G8" s="322">
        <v>3842</v>
      </c>
    </row>
    <row r="9" spans="1:7" ht="31.5" customHeight="1" thickBot="1">
      <c r="A9" s="1912" t="s">
        <v>288</v>
      </c>
      <c r="B9" s="1915" t="s">
        <v>289</v>
      </c>
      <c r="C9" s="1916"/>
      <c r="D9" s="1917"/>
      <c r="E9" s="308">
        <f>SUM(E10)</f>
        <v>27368</v>
      </c>
      <c r="F9" s="309">
        <f>SUM(F10)</f>
        <v>26000</v>
      </c>
      <c r="G9" s="310">
        <f>SUM(G10)</f>
        <v>1368</v>
      </c>
    </row>
    <row r="10" spans="1:7" ht="29.25" customHeight="1">
      <c r="A10" s="1913"/>
      <c r="B10" s="1918" t="s">
        <v>290</v>
      </c>
      <c r="C10" s="1921" t="s">
        <v>238</v>
      </c>
      <c r="D10" s="1922"/>
      <c r="E10" s="311">
        <f>SUM(E11:E12)</f>
        <v>27368</v>
      </c>
      <c r="F10" s="312">
        <f>SUM(F11:F12)</f>
        <v>26000</v>
      </c>
      <c r="G10" s="313">
        <f>SUM(G11:G12)</f>
        <v>1368</v>
      </c>
    </row>
    <row r="11" spans="1:7" ht="27.75" customHeight="1">
      <c r="A11" s="1913"/>
      <c r="B11" s="1919"/>
      <c r="C11" s="323">
        <v>2350</v>
      </c>
      <c r="D11" s="315"/>
      <c r="E11" s="316">
        <f>F11+G11</f>
        <v>26000</v>
      </c>
      <c r="F11" s="317">
        <v>26000</v>
      </c>
      <c r="G11" s="318"/>
    </row>
    <row r="12" spans="1:7" ht="27.75" customHeight="1" thickBot="1">
      <c r="A12" s="1914"/>
      <c r="B12" s="1920"/>
      <c r="C12" s="324">
        <v>2360</v>
      </c>
      <c r="D12" s="320"/>
      <c r="E12" s="316">
        <f>F12+G12</f>
        <v>1368</v>
      </c>
      <c r="F12" s="321"/>
      <c r="G12" s="322">
        <v>1368</v>
      </c>
    </row>
    <row r="13" spans="1:7" ht="31.5" customHeight="1" thickBot="1">
      <c r="A13" s="1912" t="s">
        <v>7</v>
      </c>
      <c r="B13" s="1915" t="s">
        <v>151</v>
      </c>
      <c r="C13" s="1916"/>
      <c r="D13" s="1917"/>
      <c r="E13" s="308">
        <f>SUM(E14)</f>
        <v>66316</v>
      </c>
      <c r="F13" s="309">
        <f>SUM(F14)</f>
        <v>63000</v>
      </c>
      <c r="G13" s="310">
        <f>SUM(G14)</f>
        <v>3316</v>
      </c>
    </row>
    <row r="14" spans="1:7" ht="29.25" customHeight="1">
      <c r="A14" s="1913"/>
      <c r="B14" s="1918" t="s">
        <v>237</v>
      </c>
      <c r="C14" s="1921" t="s">
        <v>238</v>
      </c>
      <c r="D14" s="1922"/>
      <c r="E14" s="311">
        <f>SUM(E15:E16)</f>
        <v>66316</v>
      </c>
      <c r="F14" s="312">
        <f>SUM(F15:F16)</f>
        <v>63000</v>
      </c>
      <c r="G14" s="313">
        <f>SUM(G15:G16)</f>
        <v>3316</v>
      </c>
    </row>
    <row r="15" spans="1:7" ht="27.75" customHeight="1">
      <c r="A15" s="1913"/>
      <c r="B15" s="1919"/>
      <c r="C15" s="323">
        <v>2350</v>
      </c>
      <c r="D15" s="315"/>
      <c r="E15" s="316">
        <f>F15+G15</f>
        <v>63000</v>
      </c>
      <c r="F15" s="317">
        <v>63000</v>
      </c>
      <c r="G15" s="318"/>
    </row>
    <row r="16" spans="1:7" ht="27.75" customHeight="1" thickBot="1">
      <c r="A16" s="1914"/>
      <c r="B16" s="1920"/>
      <c r="C16" s="324">
        <v>2360</v>
      </c>
      <c r="D16" s="320"/>
      <c r="E16" s="316">
        <f>F16+G16</f>
        <v>3316</v>
      </c>
      <c r="F16" s="321"/>
      <c r="G16" s="322">
        <v>3316</v>
      </c>
    </row>
    <row r="17" spans="1:7" ht="33.75" customHeight="1" thickBot="1">
      <c r="A17" s="1912" t="s">
        <v>239</v>
      </c>
      <c r="B17" s="1915" t="s">
        <v>291</v>
      </c>
      <c r="C17" s="1916"/>
      <c r="D17" s="1917"/>
      <c r="E17" s="308">
        <f t="shared" ref="E17:G17" si="0">SUM(E18)</f>
        <v>8421</v>
      </c>
      <c r="F17" s="309">
        <f t="shared" si="0"/>
        <v>8000</v>
      </c>
      <c r="G17" s="310">
        <f t="shared" si="0"/>
        <v>421</v>
      </c>
    </row>
    <row r="18" spans="1:7" ht="27.75" customHeight="1">
      <c r="A18" s="1913"/>
      <c r="B18" s="1918" t="s">
        <v>292</v>
      </c>
      <c r="C18" s="1921" t="s">
        <v>293</v>
      </c>
      <c r="D18" s="1922"/>
      <c r="E18" s="311">
        <f>SUM(E19:E20)</f>
        <v>8421</v>
      </c>
      <c r="F18" s="312">
        <f>SUM(F19:F20)</f>
        <v>8000</v>
      </c>
      <c r="G18" s="313">
        <f>SUM(G19:G20)</f>
        <v>421</v>
      </c>
    </row>
    <row r="19" spans="1:7" ht="29.25" customHeight="1">
      <c r="A19" s="1913"/>
      <c r="B19" s="1919"/>
      <c r="C19" s="323">
        <v>2350</v>
      </c>
      <c r="D19" s="315"/>
      <c r="E19" s="316">
        <f>F19+G19</f>
        <v>8000</v>
      </c>
      <c r="F19" s="317">
        <v>8000</v>
      </c>
      <c r="G19" s="318"/>
    </row>
    <row r="20" spans="1:7" ht="29.25" customHeight="1" thickBot="1">
      <c r="A20" s="1914"/>
      <c r="B20" s="1920"/>
      <c r="C20" s="319">
        <v>2360</v>
      </c>
      <c r="D20" s="325"/>
      <c r="E20" s="316">
        <f>F20+G20</f>
        <v>421</v>
      </c>
      <c r="F20" s="321"/>
      <c r="G20" s="322">
        <v>421</v>
      </c>
    </row>
    <row r="21" spans="1:7" ht="33.75" customHeight="1" thickBot="1">
      <c r="A21" s="1912" t="s">
        <v>4</v>
      </c>
      <c r="B21" s="1915" t="s">
        <v>18</v>
      </c>
      <c r="C21" s="1916"/>
      <c r="D21" s="1917"/>
      <c r="E21" s="308">
        <f t="shared" ref="E21:G21" si="1">SUM(E22)</f>
        <v>21053</v>
      </c>
      <c r="F21" s="309">
        <f t="shared" si="1"/>
        <v>20000</v>
      </c>
      <c r="G21" s="310">
        <f t="shared" si="1"/>
        <v>1053</v>
      </c>
    </row>
    <row r="22" spans="1:7" ht="27" customHeight="1">
      <c r="A22" s="1913"/>
      <c r="B22" s="1918" t="s">
        <v>246</v>
      </c>
      <c r="C22" s="1921" t="s">
        <v>247</v>
      </c>
      <c r="D22" s="1922"/>
      <c r="E22" s="311">
        <f>SUM(E23:E24)</f>
        <v>21053</v>
      </c>
      <c r="F22" s="312">
        <f>SUM(F23:F24)</f>
        <v>20000</v>
      </c>
      <c r="G22" s="313">
        <f>SUM(G23:G24)</f>
        <v>1053</v>
      </c>
    </row>
    <row r="23" spans="1:7" ht="29.25" customHeight="1">
      <c r="A23" s="1913"/>
      <c r="B23" s="1919"/>
      <c r="C23" s="323">
        <v>2350</v>
      </c>
      <c r="D23" s="315"/>
      <c r="E23" s="316">
        <f>F23+G23</f>
        <v>20000</v>
      </c>
      <c r="F23" s="317">
        <v>20000</v>
      </c>
      <c r="G23" s="318"/>
    </row>
    <row r="24" spans="1:7" ht="29.25" customHeight="1" thickBot="1">
      <c r="A24" s="1914"/>
      <c r="B24" s="1920"/>
      <c r="C24" s="319">
        <v>2360</v>
      </c>
      <c r="D24" s="325"/>
      <c r="E24" s="316">
        <f>F24+G24</f>
        <v>1053</v>
      </c>
      <c r="F24" s="321"/>
      <c r="G24" s="322">
        <v>1053</v>
      </c>
    </row>
    <row r="25" spans="1:7" ht="30" customHeight="1" thickBot="1">
      <c r="A25" s="1924" t="s">
        <v>22</v>
      </c>
      <c r="B25" s="1925"/>
      <c r="C25" s="1926"/>
      <c r="D25" s="1927"/>
      <c r="E25" s="326">
        <f>SUM(E5,E13,E21,E9,E17)</f>
        <v>200000</v>
      </c>
      <c r="F25" s="327">
        <f>SUM(F21,F13,F5,F9,F17)</f>
        <v>190000</v>
      </c>
      <c r="G25" s="328">
        <f>SUM(G21,G13,G5,G9,G17)</f>
        <v>10000</v>
      </c>
    </row>
    <row r="26" spans="1:7">
      <c r="A26" s="329"/>
      <c r="B26" s="329"/>
      <c r="C26" s="330"/>
      <c r="D26" s="331"/>
      <c r="E26" s="332"/>
      <c r="F26" s="333"/>
      <c r="G26" s="331"/>
    </row>
    <row r="27" spans="1:7">
      <c r="A27" s="329"/>
      <c r="B27" s="329"/>
      <c r="C27" s="330"/>
      <c r="D27" s="331"/>
      <c r="E27" s="332"/>
      <c r="F27" s="333"/>
      <c r="G27" s="331"/>
    </row>
    <row r="28" spans="1:7">
      <c r="A28" s="334"/>
      <c r="B28" s="334"/>
      <c r="C28" s="299"/>
      <c r="F28" s="281"/>
    </row>
    <row r="29" spans="1:7">
      <c r="A29" s="334"/>
      <c r="B29" s="334"/>
      <c r="C29" s="299"/>
      <c r="F29" s="281"/>
    </row>
    <row r="30" spans="1:7">
      <c r="A30" s="334"/>
      <c r="B30" s="334"/>
      <c r="C30" s="299"/>
      <c r="F30" s="281"/>
    </row>
    <row r="31" spans="1:7">
      <c r="A31" s="1923"/>
      <c r="B31" s="1923"/>
      <c r="C31" s="1923"/>
      <c r="D31" s="1923"/>
      <c r="E31" s="1923"/>
      <c r="F31" s="1923"/>
    </row>
    <row r="32" spans="1:7">
      <c r="A32" s="334"/>
      <c r="B32" s="334"/>
      <c r="C32" s="299"/>
      <c r="F32" s="281"/>
    </row>
    <row r="33" spans="1:6">
      <c r="A33" s="334"/>
      <c r="B33" s="334"/>
      <c r="C33" s="299"/>
      <c r="F33" s="281"/>
    </row>
    <row r="34" spans="1:6">
      <c r="A34" s="334"/>
      <c r="B34" s="334"/>
      <c r="C34" s="299"/>
      <c r="F34" s="281"/>
    </row>
    <row r="35" spans="1:6">
      <c r="A35" s="334"/>
      <c r="B35" s="334"/>
      <c r="C35" s="299"/>
      <c r="F35" s="281"/>
    </row>
    <row r="36" spans="1:6">
      <c r="A36" s="334"/>
      <c r="B36" s="334"/>
      <c r="C36" s="299"/>
      <c r="F36" s="281"/>
    </row>
    <row r="37" spans="1:6">
      <c r="A37" s="334"/>
      <c r="B37" s="334"/>
      <c r="C37" s="299"/>
      <c r="F37" s="281"/>
    </row>
    <row r="38" spans="1:6">
      <c r="A38" s="334"/>
      <c r="B38" s="334"/>
      <c r="C38" s="299"/>
      <c r="F38" s="281"/>
    </row>
    <row r="39" spans="1:6">
      <c r="C39" s="299"/>
      <c r="F39" s="281"/>
    </row>
    <row r="40" spans="1:6">
      <c r="C40" s="299"/>
      <c r="F40" s="281"/>
    </row>
    <row r="41" spans="1:6">
      <c r="C41" s="299"/>
      <c r="F41" s="281"/>
    </row>
    <row r="42" spans="1:6">
      <c r="C42" s="299"/>
      <c r="F42" s="281"/>
    </row>
    <row r="43" spans="1:6">
      <c r="C43" s="299"/>
      <c r="F43" s="281"/>
    </row>
    <row r="44" spans="1:6">
      <c r="C44" s="299"/>
      <c r="F44" s="281"/>
    </row>
    <row r="45" spans="1:6">
      <c r="C45" s="299"/>
      <c r="F45" s="281"/>
    </row>
    <row r="46" spans="1:6">
      <c r="C46" s="299"/>
      <c r="F46" s="281"/>
    </row>
    <row r="47" spans="1:6">
      <c r="C47" s="299"/>
      <c r="F47" s="281"/>
    </row>
    <row r="48" spans="1:6">
      <c r="C48" s="299"/>
      <c r="F48" s="281"/>
    </row>
    <row r="49" spans="3:6">
      <c r="C49" s="299"/>
      <c r="F49" s="281"/>
    </row>
    <row r="50" spans="3:6">
      <c r="C50" s="299"/>
      <c r="F50" s="281"/>
    </row>
    <row r="51" spans="3:6">
      <c r="C51" s="299"/>
      <c r="F51" s="281"/>
    </row>
    <row r="52" spans="3:6">
      <c r="C52" s="299"/>
      <c r="F52" s="281"/>
    </row>
    <row r="53" spans="3:6">
      <c r="C53" s="299"/>
      <c r="F53" s="281"/>
    </row>
    <row r="54" spans="3:6">
      <c r="C54" s="299"/>
      <c r="F54" s="281"/>
    </row>
    <row r="182" spans="4:4">
      <c r="D182" s="302">
        <f>115000000+12000000</f>
        <v>127000000</v>
      </c>
    </row>
    <row r="290" spans="4:4">
      <c r="D290" s="302"/>
    </row>
  </sheetData>
  <mergeCells count="30">
    <mergeCell ref="A31:F31"/>
    <mergeCell ref="A13:A16"/>
    <mergeCell ref="B13:D13"/>
    <mergeCell ref="B14:B16"/>
    <mergeCell ref="C14:D14"/>
    <mergeCell ref="A17:A20"/>
    <mergeCell ref="B17:D17"/>
    <mergeCell ref="B18:B20"/>
    <mergeCell ref="C18:D18"/>
    <mergeCell ref="A21:A24"/>
    <mergeCell ref="B21:D21"/>
    <mergeCell ref="B22:B24"/>
    <mergeCell ref="C22:D22"/>
    <mergeCell ref="A25:D25"/>
    <mergeCell ref="A5:A8"/>
    <mergeCell ref="B5:D5"/>
    <mergeCell ref="B6:B8"/>
    <mergeCell ref="C6:D6"/>
    <mergeCell ref="A9:A12"/>
    <mergeCell ref="B9:D9"/>
    <mergeCell ref="B10:B12"/>
    <mergeCell ref="C10:D10"/>
    <mergeCell ref="E1:G1"/>
    <mergeCell ref="A2:G2"/>
    <mergeCell ref="A3:A4"/>
    <mergeCell ref="B3:B4"/>
    <mergeCell ref="C3:C4"/>
    <mergeCell ref="D3:D4"/>
    <mergeCell ref="E3:E4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E27"/>
  <sheetViews>
    <sheetView tabSelected="1" view="pageBreakPreview" zoomScaleNormal="100" zoomScaleSheetLayoutView="100" workbookViewId="0">
      <selection activeCell="H2" sqref="H2"/>
    </sheetView>
  </sheetViews>
  <sheetFormatPr defaultRowHeight="12.75"/>
  <cols>
    <col min="1" max="1" width="5.85546875" style="61" customWidth="1"/>
    <col min="2" max="2" width="49.7109375" style="61" customWidth="1"/>
    <col min="3" max="4" width="14.5703125" style="61" customWidth="1"/>
    <col min="5" max="5" width="9" style="61" customWidth="1"/>
    <col min="6" max="256" width="9.140625" style="61"/>
    <col min="257" max="257" width="5.85546875" style="61" customWidth="1"/>
    <col min="258" max="258" width="45.42578125" style="61" customWidth="1"/>
    <col min="259" max="260" width="14.5703125" style="61" customWidth="1"/>
    <col min="261" max="261" width="9" style="61" customWidth="1"/>
    <col min="262" max="512" width="9.140625" style="61"/>
    <col min="513" max="513" width="5.85546875" style="61" customWidth="1"/>
    <col min="514" max="514" width="45.42578125" style="61" customWidth="1"/>
    <col min="515" max="516" width="14.5703125" style="61" customWidth="1"/>
    <col min="517" max="517" width="9" style="61" customWidth="1"/>
    <col min="518" max="768" width="9.140625" style="61"/>
    <col min="769" max="769" width="5.85546875" style="61" customWidth="1"/>
    <col min="770" max="770" width="45.42578125" style="61" customWidth="1"/>
    <col min="771" max="772" width="14.5703125" style="61" customWidth="1"/>
    <col min="773" max="773" width="9" style="61" customWidth="1"/>
    <col min="774" max="1024" width="9.140625" style="61"/>
    <col min="1025" max="1025" width="5.85546875" style="61" customWidth="1"/>
    <col min="1026" max="1026" width="45.42578125" style="61" customWidth="1"/>
    <col min="1027" max="1028" width="14.5703125" style="61" customWidth="1"/>
    <col min="1029" max="1029" width="9" style="61" customWidth="1"/>
    <col min="1030" max="1280" width="9.140625" style="61"/>
    <col min="1281" max="1281" width="5.85546875" style="61" customWidth="1"/>
    <col min="1282" max="1282" width="45.42578125" style="61" customWidth="1"/>
    <col min="1283" max="1284" width="14.5703125" style="61" customWidth="1"/>
    <col min="1285" max="1285" width="9" style="61" customWidth="1"/>
    <col min="1286" max="1536" width="9.140625" style="61"/>
    <col min="1537" max="1537" width="5.85546875" style="61" customWidth="1"/>
    <col min="1538" max="1538" width="45.42578125" style="61" customWidth="1"/>
    <col min="1539" max="1540" width="14.5703125" style="61" customWidth="1"/>
    <col min="1541" max="1541" width="9" style="61" customWidth="1"/>
    <col min="1542" max="1792" width="9.140625" style="61"/>
    <col min="1793" max="1793" width="5.85546875" style="61" customWidth="1"/>
    <col min="1794" max="1794" width="45.42578125" style="61" customWidth="1"/>
    <col min="1795" max="1796" width="14.5703125" style="61" customWidth="1"/>
    <col min="1797" max="1797" width="9" style="61" customWidth="1"/>
    <col min="1798" max="2048" width="9.140625" style="61"/>
    <col min="2049" max="2049" width="5.85546875" style="61" customWidth="1"/>
    <col min="2050" max="2050" width="45.42578125" style="61" customWidth="1"/>
    <col min="2051" max="2052" width="14.5703125" style="61" customWidth="1"/>
    <col min="2053" max="2053" width="9" style="61" customWidth="1"/>
    <col min="2054" max="2304" width="9.140625" style="61"/>
    <col min="2305" max="2305" width="5.85546875" style="61" customWidth="1"/>
    <col min="2306" max="2306" width="45.42578125" style="61" customWidth="1"/>
    <col min="2307" max="2308" width="14.5703125" style="61" customWidth="1"/>
    <col min="2309" max="2309" width="9" style="61" customWidth="1"/>
    <col min="2310" max="2560" width="9.140625" style="61"/>
    <col min="2561" max="2561" width="5.85546875" style="61" customWidth="1"/>
    <col min="2562" max="2562" width="45.42578125" style="61" customWidth="1"/>
    <col min="2563" max="2564" width="14.5703125" style="61" customWidth="1"/>
    <col min="2565" max="2565" width="9" style="61" customWidth="1"/>
    <col min="2566" max="2816" width="9.140625" style="61"/>
    <col min="2817" max="2817" width="5.85546875" style="61" customWidth="1"/>
    <col min="2818" max="2818" width="45.42578125" style="61" customWidth="1"/>
    <col min="2819" max="2820" width="14.5703125" style="61" customWidth="1"/>
    <col min="2821" max="2821" width="9" style="61" customWidth="1"/>
    <col min="2822" max="3072" width="9.140625" style="61"/>
    <col min="3073" max="3073" width="5.85546875" style="61" customWidth="1"/>
    <col min="3074" max="3074" width="45.42578125" style="61" customWidth="1"/>
    <col min="3075" max="3076" width="14.5703125" style="61" customWidth="1"/>
    <col min="3077" max="3077" width="9" style="61" customWidth="1"/>
    <col min="3078" max="3328" width="9.140625" style="61"/>
    <col min="3329" max="3329" width="5.85546875" style="61" customWidth="1"/>
    <col min="3330" max="3330" width="45.42578125" style="61" customWidth="1"/>
    <col min="3331" max="3332" width="14.5703125" style="61" customWidth="1"/>
    <col min="3333" max="3333" width="9" style="61" customWidth="1"/>
    <col min="3334" max="3584" width="9.140625" style="61"/>
    <col min="3585" max="3585" width="5.85546875" style="61" customWidth="1"/>
    <col min="3586" max="3586" width="45.42578125" style="61" customWidth="1"/>
    <col min="3587" max="3588" width="14.5703125" style="61" customWidth="1"/>
    <col min="3589" max="3589" width="9" style="61" customWidth="1"/>
    <col min="3590" max="3840" width="9.140625" style="61"/>
    <col min="3841" max="3841" width="5.85546875" style="61" customWidth="1"/>
    <col min="3842" max="3842" width="45.42578125" style="61" customWidth="1"/>
    <col min="3843" max="3844" width="14.5703125" style="61" customWidth="1"/>
    <col min="3845" max="3845" width="9" style="61" customWidth="1"/>
    <col min="3846" max="4096" width="9.140625" style="61"/>
    <col min="4097" max="4097" width="5.85546875" style="61" customWidth="1"/>
    <col min="4098" max="4098" width="45.42578125" style="61" customWidth="1"/>
    <col min="4099" max="4100" width="14.5703125" style="61" customWidth="1"/>
    <col min="4101" max="4101" width="9" style="61" customWidth="1"/>
    <col min="4102" max="4352" width="9.140625" style="61"/>
    <col min="4353" max="4353" width="5.85546875" style="61" customWidth="1"/>
    <col min="4354" max="4354" width="45.42578125" style="61" customWidth="1"/>
    <col min="4355" max="4356" width="14.5703125" style="61" customWidth="1"/>
    <col min="4357" max="4357" width="9" style="61" customWidth="1"/>
    <col min="4358" max="4608" width="9.140625" style="61"/>
    <col min="4609" max="4609" width="5.85546875" style="61" customWidth="1"/>
    <col min="4610" max="4610" width="45.42578125" style="61" customWidth="1"/>
    <col min="4611" max="4612" width="14.5703125" style="61" customWidth="1"/>
    <col min="4613" max="4613" width="9" style="61" customWidth="1"/>
    <col min="4614" max="4864" width="9.140625" style="61"/>
    <col min="4865" max="4865" width="5.85546875" style="61" customWidth="1"/>
    <col min="4866" max="4866" width="45.42578125" style="61" customWidth="1"/>
    <col min="4867" max="4868" width="14.5703125" style="61" customWidth="1"/>
    <col min="4869" max="4869" width="9" style="61" customWidth="1"/>
    <col min="4870" max="5120" width="9.140625" style="61"/>
    <col min="5121" max="5121" width="5.85546875" style="61" customWidth="1"/>
    <col min="5122" max="5122" width="45.42578125" style="61" customWidth="1"/>
    <col min="5123" max="5124" width="14.5703125" style="61" customWidth="1"/>
    <col min="5125" max="5125" width="9" style="61" customWidth="1"/>
    <col min="5126" max="5376" width="9.140625" style="61"/>
    <col min="5377" max="5377" width="5.85546875" style="61" customWidth="1"/>
    <col min="5378" max="5378" width="45.42578125" style="61" customWidth="1"/>
    <col min="5379" max="5380" width="14.5703125" style="61" customWidth="1"/>
    <col min="5381" max="5381" width="9" style="61" customWidth="1"/>
    <col min="5382" max="5632" width="9.140625" style="61"/>
    <col min="5633" max="5633" width="5.85546875" style="61" customWidth="1"/>
    <col min="5634" max="5634" width="45.42578125" style="61" customWidth="1"/>
    <col min="5635" max="5636" width="14.5703125" style="61" customWidth="1"/>
    <col min="5637" max="5637" width="9" style="61" customWidth="1"/>
    <col min="5638" max="5888" width="9.140625" style="61"/>
    <col min="5889" max="5889" width="5.85546875" style="61" customWidth="1"/>
    <col min="5890" max="5890" width="45.42578125" style="61" customWidth="1"/>
    <col min="5891" max="5892" width="14.5703125" style="61" customWidth="1"/>
    <col min="5893" max="5893" width="9" style="61" customWidth="1"/>
    <col min="5894" max="6144" width="9.140625" style="61"/>
    <col min="6145" max="6145" width="5.85546875" style="61" customWidth="1"/>
    <col min="6146" max="6146" width="45.42578125" style="61" customWidth="1"/>
    <col min="6147" max="6148" width="14.5703125" style="61" customWidth="1"/>
    <col min="6149" max="6149" width="9" style="61" customWidth="1"/>
    <col min="6150" max="6400" width="9.140625" style="61"/>
    <col min="6401" max="6401" width="5.85546875" style="61" customWidth="1"/>
    <col min="6402" max="6402" width="45.42578125" style="61" customWidth="1"/>
    <col min="6403" max="6404" width="14.5703125" style="61" customWidth="1"/>
    <col min="6405" max="6405" width="9" style="61" customWidth="1"/>
    <col min="6406" max="6656" width="9.140625" style="61"/>
    <col min="6657" max="6657" width="5.85546875" style="61" customWidth="1"/>
    <col min="6658" max="6658" width="45.42578125" style="61" customWidth="1"/>
    <col min="6659" max="6660" width="14.5703125" style="61" customWidth="1"/>
    <col min="6661" max="6661" width="9" style="61" customWidth="1"/>
    <col min="6662" max="6912" width="9.140625" style="61"/>
    <col min="6913" max="6913" width="5.85546875" style="61" customWidth="1"/>
    <col min="6914" max="6914" width="45.42578125" style="61" customWidth="1"/>
    <col min="6915" max="6916" width="14.5703125" style="61" customWidth="1"/>
    <col min="6917" max="6917" width="9" style="61" customWidth="1"/>
    <col min="6918" max="7168" width="9.140625" style="61"/>
    <col min="7169" max="7169" width="5.85546875" style="61" customWidth="1"/>
    <col min="7170" max="7170" width="45.42578125" style="61" customWidth="1"/>
    <col min="7171" max="7172" width="14.5703125" style="61" customWidth="1"/>
    <col min="7173" max="7173" width="9" style="61" customWidth="1"/>
    <col min="7174" max="7424" width="9.140625" style="61"/>
    <col min="7425" max="7425" width="5.85546875" style="61" customWidth="1"/>
    <col min="7426" max="7426" width="45.42578125" style="61" customWidth="1"/>
    <col min="7427" max="7428" width="14.5703125" style="61" customWidth="1"/>
    <col min="7429" max="7429" width="9" style="61" customWidth="1"/>
    <col min="7430" max="7680" width="9.140625" style="61"/>
    <col min="7681" max="7681" width="5.85546875" style="61" customWidth="1"/>
    <col min="7682" max="7682" width="45.42578125" style="61" customWidth="1"/>
    <col min="7683" max="7684" width="14.5703125" style="61" customWidth="1"/>
    <col min="7685" max="7685" width="9" style="61" customWidth="1"/>
    <col min="7686" max="7936" width="9.140625" style="61"/>
    <col min="7937" max="7937" width="5.85546875" style="61" customWidth="1"/>
    <col min="7938" max="7938" width="45.42578125" style="61" customWidth="1"/>
    <col min="7939" max="7940" width="14.5703125" style="61" customWidth="1"/>
    <col min="7941" max="7941" width="9" style="61" customWidth="1"/>
    <col min="7942" max="8192" width="9.140625" style="61"/>
    <col min="8193" max="8193" width="5.85546875" style="61" customWidth="1"/>
    <col min="8194" max="8194" width="45.42578125" style="61" customWidth="1"/>
    <col min="8195" max="8196" width="14.5703125" style="61" customWidth="1"/>
    <col min="8197" max="8197" width="9" style="61" customWidth="1"/>
    <col min="8198" max="8448" width="9.140625" style="61"/>
    <col min="8449" max="8449" width="5.85546875" style="61" customWidth="1"/>
    <col min="8450" max="8450" width="45.42578125" style="61" customWidth="1"/>
    <col min="8451" max="8452" width="14.5703125" style="61" customWidth="1"/>
    <col min="8453" max="8453" width="9" style="61" customWidth="1"/>
    <col min="8454" max="8704" width="9.140625" style="61"/>
    <col min="8705" max="8705" width="5.85546875" style="61" customWidth="1"/>
    <col min="8706" max="8706" width="45.42578125" style="61" customWidth="1"/>
    <col min="8707" max="8708" width="14.5703125" style="61" customWidth="1"/>
    <col min="8709" max="8709" width="9" style="61" customWidth="1"/>
    <col min="8710" max="8960" width="9.140625" style="61"/>
    <col min="8961" max="8961" width="5.85546875" style="61" customWidth="1"/>
    <col min="8962" max="8962" width="45.42578125" style="61" customWidth="1"/>
    <col min="8963" max="8964" width="14.5703125" style="61" customWidth="1"/>
    <col min="8965" max="8965" width="9" style="61" customWidth="1"/>
    <col min="8966" max="9216" width="9.140625" style="61"/>
    <col min="9217" max="9217" width="5.85546875" style="61" customWidth="1"/>
    <col min="9218" max="9218" width="45.42578125" style="61" customWidth="1"/>
    <col min="9219" max="9220" width="14.5703125" style="61" customWidth="1"/>
    <col min="9221" max="9221" width="9" style="61" customWidth="1"/>
    <col min="9222" max="9472" width="9.140625" style="61"/>
    <col min="9473" max="9473" width="5.85546875" style="61" customWidth="1"/>
    <col min="9474" max="9474" width="45.42578125" style="61" customWidth="1"/>
    <col min="9475" max="9476" width="14.5703125" style="61" customWidth="1"/>
    <col min="9477" max="9477" width="9" style="61" customWidth="1"/>
    <col min="9478" max="9728" width="9.140625" style="61"/>
    <col min="9729" max="9729" width="5.85546875" style="61" customWidth="1"/>
    <col min="9730" max="9730" width="45.42578125" style="61" customWidth="1"/>
    <col min="9731" max="9732" width="14.5703125" style="61" customWidth="1"/>
    <col min="9733" max="9733" width="9" style="61" customWidth="1"/>
    <col min="9734" max="9984" width="9.140625" style="61"/>
    <col min="9985" max="9985" width="5.85546875" style="61" customWidth="1"/>
    <col min="9986" max="9986" width="45.42578125" style="61" customWidth="1"/>
    <col min="9987" max="9988" width="14.5703125" style="61" customWidth="1"/>
    <col min="9989" max="9989" width="9" style="61" customWidth="1"/>
    <col min="9990" max="10240" width="9.140625" style="61"/>
    <col min="10241" max="10241" width="5.85546875" style="61" customWidth="1"/>
    <col min="10242" max="10242" width="45.42578125" style="61" customWidth="1"/>
    <col min="10243" max="10244" width="14.5703125" style="61" customWidth="1"/>
    <col min="10245" max="10245" width="9" style="61" customWidth="1"/>
    <col min="10246" max="10496" width="9.140625" style="61"/>
    <col min="10497" max="10497" width="5.85546875" style="61" customWidth="1"/>
    <col min="10498" max="10498" width="45.42578125" style="61" customWidth="1"/>
    <col min="10499" max="10500" width="14.5703125" style="61" customWidth="1"/>
    <col min="10501" max="10501" width="9" style="61" customWidth="1"/>
    <col min="10502" max="10752" width="9.140625" style="61"/>
    <col min="10753" max="10753" width="5.85546875" style="61" customWidth="1"/>
    <col min="10754" max="10754" width="45.42578125" style="61" customWidth="1"/>
    <col min="10755" max="10756" width="14.5703125" style="61" customWidth="1"/>
    <col min="10757" max="10757" width="9" style="61" customWidth="1"/>
    <col min="10758" max="11008" width="9.140625" style="61"/>
    <col min="11009" max="11009" width="5.85546875" style="61" customWidth="1"/>
    <col min="11010" max="11010" width="45.42578125" style="61" customWidth="1"/>
    <col min="11011" max="11012" width="14.5703125" style="61" customWidth="1"/>
    <col min="11013" max="11013" width="9" style="61" customWidth="1"/>
    <col min="11014" max="11264" width="9.140625" style="61"/>
    <col min="11265" max="11265" width="5.85546875" style="61" customWidth="1"/>
    <col min="11266" max="11266" width="45.42578125" style="61" customWidth="1"/>
    <col min="11267" max="11268" width="14.5703125" style="61" customWidth="1"/>
    <col min="11269" max="11269" width="9" style="61" customWidth="1"/>
    <col min="11270" max="11520" width="9.140625" style="61"/>
    <col min="11521" max="11521" width="5.85546875" style="61" customWidth="1"/>
    <col min="11522" max="11522" width="45.42578125" style="61" customWidth="1"/>
    <col min="11523" max="11524" width="14.5703125" style="61" customWidth="1"/>
    <col min="11525" max="11525" width="9" style="61" customWidth="1"/>
    <col min="11526" max="11776" width="9.140625" style="61"/>
    <col min="11777" max="11777" width="5.85546875" style="61" customWidth="1"/>
    <col min="11778" max="11778" width="45.42578125" style="61" customWidth="1"/>
    <col min="11779" max="11780" width="14.5703125" style="61" customWidth="1"/>
    <col min="11781" max="11781" width="9" style="61" customWidth="1"/>
    <col min="11782" max="12032" width="9.140625" style="61"/>
    <col min="12033" max="12033" width="5.85546875" style="61" customWidth="1"/>
    <col min="12034" max="12034" width="45.42578125" style="61" customWidth="1"/>
    <col min="12035" max="12036" width="14.5703125" style="61" customWidth="1"/>
    <col min="12037" max="12037" width="9" style="61" customWidth="1"/>
    <col min="12038" max="12288" width="9.140625" style="61"/>
    <col min="12289" max="12289" width="5.85546875" style="61" customWidth="1"/>
    <col min="12290" max="12290" width="45.42578125" style="61" customWidth="1"/>
    <col min="12291" max="12292" width="14.5703125" style="61" customWidth="1"/>
    <col min="12293" max="12293" width="9" style="61" customWidth="1"/>
    <col min="12294" max="12544" width="9.140625" style="61"/>
    <col min="12545" max="12545" width="5.85546875" style="61" customWidth="1"/>
    <col min="12546" max="12546" width="45.42578125" style="61" customWidth="1"/>
    <col min="12547" max="12548" width="14.5703125" style="61" customWidth="1"/>
    <col min="12549" max="12549" width="9" style="61" customWidth="1"/>
    <col min="12550" max="12800" width="9.140625" style="61"/>
    <col min="12801" max="12801" width="5.85546875" style="61" customWidth="1"/>
    <col min="12802" max="12802" width="45.42578125" style="61" customWidth="1"/>
    <col min="12803" max="12804" width="14.5703125" style="61" customWidth="1"/>
    <col min="12805" max="12805" width="9" style="61" customWidth="1"/>
    <col min="12806" max="13056" width="9.140625" style="61"/>
    <col min="13057" max="13057" width="5.85546875" style="61" customWidth="1"/>
    <col min="13058" max="13058" width="45.42578125" style="61" customWidth="1"/>
    <col min="13059" max="13060" width="14.5703125" style="61" customWidth="1"/>
    <col min="13061" max="13061" width="9" style="61" customWidth="1"/>
    <col min="13062" max="13312" width="9.140625" style="61"/>
    <col min="13313" max="13313" width="5.85546875" style="61" customWidth="1"/>
    <col min="13314" max="13314" width="45.42578125" style="61" customWidth="1"/>
    <col min="13315" max="13316" width="14.5703125" style="61" customWidth="1"/>
    <col min="13317" max="13317" width="9" style="61" customWidth="1"/>
    <col min="13318" max="13568" width="9.140625" style="61"/>
    <col min="13569" max="13569" width="5.85546875" style="61" customWidth="1"/>
    <col min="13570" max="13570" width="45.42578125" style="61" customWidth="1"/>
    <col min="13571" max="13572" width="14.5703125" style="61" customWidth="1"/>
    <col min="13573" max="13573" width="9" style="61" customWidth="1"/>
    <col min="13574" max="13824" width="9.140625" style="61"/>
    <col min="13825" max="13825" width="5.85546875" style="61" customWidth="1"/>
    <col min="13826" max="13826" width="45.42578125" style="61" customWidth="1"/>
    <col min="13827" max="13828" width="14.5703125" style="61" customWidth="1"/>
    <col min="13829" max="13829" width="9" style="61" customWidth="1"/>
    <col min="13830" max="14080" width="9.140625" style="61"/>
    <col min="14081" max="14081" width="5.85546875" style="61" customWidth="1"/>
    <col min="14082" max="14082" width="45.42578125" style="61" customWidth="1"/>
    <col min="14083" max="14084" width="14.5703125" style="61" customWidth="1"/>
    <col min="14085" max="14085" width="9" style="61" customWidth="1"/>
    <col min="14086" max="14336" width="9.140625" style="61"/>
    <col min="14337" max="14337" width="5.85546875" style="61" customWidth="1"/>
    <col min="14338" max="14338" width="45.42578125" style="61" customWidth="1"/>
    <col min="14339" max="14340" width="14.5703125" style="61" customWidth="1"/>
    <col min="14341" max="14341" width="9" style="61" customWidth="1"/>
    <col min="14342" max="14592" width="9.140625" style="61"/>
    <col min="14593" max="14593" width="5.85546875" style="61" customWidth="1"/>
    <col min="14594" max="14594" width="45.42578125" style="61" customWidth="1"/>
    <col min="14595" max="14596" width="14.5703125" style="61" customWidth="1"/>
    <col min="14597" max="14597" width="9" style="61" customWidth="1"/>
    <col min="14598" max="14848" width="9.140625" style="61"/>
    <col min="14849" max="14849" width="5.85546875" style="61" customWidth="1"/>
    <col min="14850" max="14850" width="45.42578125" style="61" customWidth="1"/>
    <col min="14851" max="14852" width="14.5703125" style="61" customWidth="1"/>
    <col min="14853" max="14853" width="9" style="61" customWidth="1"/>
    <col min="14854" max="15104" width="9.140625" style="61"/>
    <col min="15105" max="15105" width="5.85546875" style="61" customWidth="1"/>
    <col min="15106" max="15106" width="45.42578125" style="61" customWidth="1"/>
    <col min="15107" max="15108" width="14.5703125" style="61" customWidth="1"/>
    <col min="15109" max="15109" width="9" style="61" customWidth="1"/>
    <col min="15110" max="15360" width="9.140625" style="61"/>
    <col min="15361" max="15361" width="5.85546875" style="61" customWidth="1"/>
    <col min="15362" max="15362" width="45.42578125" style="61" customWidth="1"/>
    <col min="15363" max="15364" width="14.5703125" style="61" customWidth="1"/>
    <col min="15365" max="15365" width="9" style="61" customWidth="1"/>
    <col min="15366" max="15616" width="9.140625" style="61"/>
    <col min="15617" max="15617" width="5.85546875" style="61" customWidth="1"/>
    <col min="15618" max="15618" width="45.42578125" style="61" customWidth="1"/>
    <col min="15619" max="15620" width="14.5703125" style="61" customWidth="1"/>
    <col min="15621" max="15621" width="9" style="61" customWidth="1"/>
    <col min="15622" max="15872" width="9.140625" style="61"/>
    <col min="15873" max="15873" width="5.85546875" style="61" customWidth="1"/>
    <col min="15874" max="15874" width="45.42578125" style="61" customWidth="1"/>
    <col min="15875" max="15876" width="14.5703125" style="61" customWidth="1"/>
    <col min="15877" max="15877" width="9" style="61" customWidth="1"/>
    <col min="15878" max="16128" width="9.140625" style="61"/>
    <col min="16129" max="16129" width="5.85546875" style="61" customWidth="1"/>
    <col min="16130" max="16130" width="45.42578125" style="61" customWidth="1"/>
    <col min="16131" max="16132" width="14.5703125" style="61" customWidth="1"/>
    <col min="16133" max="16133" width="9" style="61" customWidth="1"/>
    <col min="16134" max="16384" width="9.140625" style="61"/>
  </cols>
  <sheetData>
    <row r="1" spans="1:5" ht="76.5" customHeight="1">
      <c r="A1" s="84"/>
      <c r="B1" s="1932" t="s">
        <v>1129</v>
      </c>
      <c r="C1" s="1932"/>
      <c r="D1" s="1932"/>
    </row>
    <row r="2" spans="1:5" ht="63" customHeight="1" thickBot="1">
      <c r="A2" s="1933" t="s">
        <v>99</v>
      </c>
      <c r="B2" s="1933"/>
      <c r="C2" s="1933"/>
      <c r="D2" s="1933"/>
    </row>
    <row r="3" spans="1:5" ht="22.5" customHeight="1" thickBot="1">
      <c r="A3" s="82" t="s">
        <v>15</v>
      </c>
      <c r="B3" s="83" t="s">
        <v>98</v>
      </c>
      <c r="C3" s="82" t="s">
        <v>97</v>
      </c>
      <c r="D3" s="81" t="s">
        <v>96</v>
      </c>
    </row>
    <row r="4" spans="1:5" ht="15" customHeight="1" thickBot="1">
      <c r="A4" s="1928" t="s">
        <v>95</v>
      </c>
      <c r="B4" s="1929"/>
      <c r="C4" s="80">
        <f>SUM(C5:C6)</f>
        <v>3050</v>
      </c>
      <c r="D4" s="79">
        <f>SUM(D5:D6)</f>
        <v>3050</v>
      </c>
    </row>
    <row r="5" spans="1:5" ht="26.25" customHeight="1">
      <c r="A5" s="101">
        <v>1</v>
      </c>
      <c r="B5" s="78" t="s">
        <v>111</v>
      </c>
      <c r="C5" s="90">
        <v>50</v>
      </c>
      <c r="D5" s="91">
        <v>50</v>
      </c>
      <c r="E5" s="67"/>
    </row>
    <row r="6" spans="1:5" ht="15" customHeight="1" thickBot="1">
      <c r="A6" s="102">
        <v>2</v>
      </c>
      <c r="B6" s="76" t="s">
        <v>94</v>
      </c>
      <c r="C6" s="92">
        <v>3000</v>
      </c>
      <c r="D6" s="93">
        <v>3000</v>
      </c>
      <c r="E6" s="67"/>
    </row>
    <row r="7" spans="1:5" ht="15" customHeight="1" thickBot="1">
      <c r="A7" s="1928" t="s">
        <v>93</v>
      </c>
      <c r="B7" s="1929"/>
      <c r="C7" s="94">
        <f>SUM(C8:C14)</f>
        <v>310817</v>
      </c>
      <c r="D7" s="95">
        <f>SUM(D8:D14)</f>
        <v>310817</v>
      </c>
      <c r="E7" s="67"/>
    </row>
    <row r="8" spans="1:5" ht="27" customHeight="1">
      <c r="A8" s="103">
        <v>1</v>
      </c>
      <c r="B8" s="87" t="s">
        <v>103</v>
      </c>
      <c r="C8" s="96">
        <v>51000</v>
      </c>
      <c r="D8" s="97">
        <v>51000</v>
      </c>
      <c r="E8" s="67"/>
    </row>
    <row r="9" spans="1:5" ht="27" customHeight="1">
      <c r="A9" s="104">
        <v>2</v>
      </c>
      <c r="B9" s="88" t="s">
        <v>104</v>
      </c>
      <c r="C9" s="98">
        <v>26140</v>
      </c>
      <c r="D9" s="99">
        <v>26140</v>
      </c>
      <c r="E9" s="67"/>
    </row>
    <row r="10" spans="1:5" ht="27" customHeight="1">
      <c r="A10" s="104">
        <v>3</v>
      </c>
      <c r="B10" s="88" t="s">
        <v>105</v>
      </c>
      <c r="C10" s="98">
        <v>3400</v>
      </c>
      <c r="D10" s="99">
        <v>3400</v>
      </c>
      <c r="E10" s="67"/>
    </row>
    <row r="11" spans="1:5" ht="27" customHeight="1">
      <c r="A11" s="104">
        <v>4</v>
      </c>
      <c r="B11" s="88" t="s">
        <v>106</v>
      </c>
      <c r="C11" s="98">
        <v>10100</v>
      </c>
      <c r="D11" s="99">
        <v>10100</v>
      </c>
      <c r="E11" s="67"/>
    </row>
    <row r="12" spans="1:5" ht="27" customHeight="1">
      <c r="A12" s="104">
        <v>5</v>
      </c>
      <c r="B12" s="88" t="s">
        <v>107</v>
      </c>
      <c r="C12" s="98">
        <v>26700</v>
      </c>
      <c r="D12" s="99">
        <v>26700</v>
      </c>
      <c r="E12" s="67"/>
    </row>
    <row r="13" spans="1:5" ht="27" customHeight="1">
      <c r="A13" s="104">
        <v>6</v>
      </c>
      <c r="B13" s="88" t="s">
        <v>102</v>
      </c>
      <c r="C13" s="98">
        <v>8100</v>
      </c>
      <c r="D13" s="99">
        <v>8100</v>
      </c>
      <c r="E13" s="67"/>
    </row>
    <row r="14" spans="1:5" s="72" customFormat="1" ht="27.75" customHeight="1" thickBot="1">
      <c r="A14" s="102">
        <v>7</v>
      </c>
      <c r="B14" s="89" t="s">
        <v>101</v>
      </c>
      <c r="C14" s="92">
        <v>185377</v>
      </c>
      <c r="D14" s="93">
        <v>185377</v>
      </c>
      <c r="E14" s="77"/>
    </row>
    <row r="15" spans="1:5" ht="15" customHeight="1" thickBot="1">
      <c r="A15" s="1928" t="s">
        <v>92</v>
      </c>
      <c r="B15" s="1929"/>
      <c r="C15" s="94">
        <f>SUM(C16)</f>
        <v>2300000</v>
      </c>
      <c r="D15" s="95">
        <f>SUM(D16)</f>
        <v>2300000</v>
      </c>
      <c r="E15" s="67"/>
    </row>
    <row r="16" spans="1:5" ht="15" customHeight="1" thickBot="1">
      <c r="A16" s="75">
        <v>1</v>
      </c>
      <c r="B16" s="74" t="s">
        <v>91</v>
      </c>
      <c r="C16" s="90">
        <v>2300000</v>
      </c>
      <c r="D16" s="91">
        <v>2300000</v>
      </c>
      <c r="E16" s="77"/>
    </row>
    <row r="17" spans="1:5" ht="15" customHeight="1" thickBot="1">
      <c r="A17" s="1928" t="s">
        <v>90</v>
      </c>
      <c r="B17" s="1929"/>
      <c r="C17" s="94">
        <f>SUM(C18:C21)</f>
        <v>338200</v>
      </c>
      <c r="D17" s="95">
        <f>SUM(D18:D21)</f>
        <v>338200</v>
      </c>
      <c r="E17" s="67"/>
    </row>
    <row r="18" spans="1:5" ht="15" customHeight="1">
      <c r="A18" s="103">
        <v>1</v>
      </c>
      <c r="B18" s="69" t="s">
        <v>89</v>
      </c>
      <c r="C18" s="96">
        <v>71000</v>
      </c>
      <c r="D18" s="97">
        <v>71000</v>
      </c>
      <c r="E18" s="67"/>
    </row>
    <row r="19" spans="1:5" s="72" customFormat="1" ht="15" customHeight="1">
      <c r="A19" s="104">
        <v>2</v>
      </c>
      <c r="B19" s="71" t="s">
        <v>88</v>
      </c>
      <c r="C19" s="98">
        <v>31800</v>
      </c>
      <c r="D19" s="99">
        <v>31800</v>
      </c>
      <c r="E19" s="73"/>
    </row>
    <row r="20" spans="1:5" ht="15" customHeight="1">
      <c r="A20" s="104">
        <v>3</v>
      </c>
      <c r="B20" s="71" t="s">
        <v>87</v>
      </c>
      <c r="C20" s="98">
        <v>190000</v>
      </c>
      <c r="D20" s="99">
        <v>190000</v>
      </c>
      <c r="E20" s="67"/>
    </row>
    <row r="21" spans="1:5" ht="15" customHeight="1" thickBot="1">
      <c r="A21" s="102">
        <v>4</v>
      </c>
      <c r="B21" s="70" t="s">
        <v>86</v>
      </c>
      <c r="C21" s="92">
        <v>45400</v>
      </c>
      <c r="D21" s="93">
        <v>45400</v>
      </c>
      <c r="E21" s="67"/>
    </row>
    <row r="22" spans="1:5" ht="15" customHeight="1" thickBot="1">
      <c r="A22" s="1928" t="s">
        <v>85</v>
      </c>
      <c r="B22" s="1929"/>
      <c r="C22" s="94">
        <f>SUM(C23:C23)</f>
        <v>200330</v>
      </c>
      <c r="D22" s="95">
        <f>SUM(D23:D23)</f>
        <v>200330</v>
      </c>
      <c r="E22" s="67"/>
    </row>
    <row r="23" spans="1:5" ht="29.25" customHeight="1" thickBot="1">
      <c r="A23" s="105">
        <v>1</v>
      </c>
      <c r="B23" s="86" t="s">
        <v>110</v>
      </c>
      <c r="C23" s="90">
        <v>200330</v>
      </c>
      <c r="D23" s="91">
        <v>200330</v>
      </c>
      <c r="E23" s="67"/>
    </row>
    <row r="24" spans="1:5" ht="24" customHeight="1" thickBot="1">
      <c r="A24" s="1930" t="s">
        <v>84</v>
      </c>
      <c r="B24" s="1931"/>
      <c r="C24" s="68">
        <f>SUM(C4,C7,C15,C17,C22)</f>
        <v>3152397</v>
      </c>
      <c r="D24" s="68">
        <f>SUM(D4,D7,D15,D17,D22)</f>
        <v>3152397</v>
      </c>
      <c r="E24" s="67"/>
    </row>
    <row r="25" spans="1:5" ht="12.75" customHeight="1">
      <c r="A25" s="66"/>
      <c r="B25" s="66"/>
      <c r="C25" s="65"/>
      <c r="D25" s="65"/>
    </row>
    <row r="27" spans="1:5">
      <c r="A27" s="64"/>
      <c r="B27" s="63"/>
      <c r="C27" s="62"/>
      <c r="D27" s="62"/>
    </row>
  </sheetData>
  <mergeCells count="8">
    <mergeCell ref="A17:B17"/>
    <mergeCell ref="A22:B22"/>
    <mergeCell ref="A24:B24"/>
    <mergeCell ref="B1:D1"/>
    <mergeCell ref="A2:D2"/>
    <mergeCell ref="A4:B4"/>
    <mergeCell ref="A7:B7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26</vt:i4>
      </vt:variant>
    </vt:vector>
  </HeadingPairs>
  <TitlesOfParts>
    <vt:vector size="46" baseType="lpstr">
      <vt:lpstr>Tabela Nr 1</vt:lpstr>
      <vt:lpstr>Tabela Nr 2</vt:lpstr>
      <vt:lpstr>Tabela Nr 3</vt:lpstr>
      <vt:lpstr>Tabela Nr 4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Załącznik Nr 8</vt:lpstr>
      <vt:lpstr> Załącznik Nr 9 </vt:lpstr>
      <vt:lpstr>Załącznik Nr 10 </vt:lpstr>
      <vt:lpstr>Załącznik Nr 11</vt:lpstr>
      <vt:lpstr>Załącznik Nr 12</vt:lpstr>
      <vt:lpstr>Zał Nr 13 adm.rząd.doch.</vt:lpstr>
      <vt:lpstr>Zał Nr 13 adm.rzad.wyd.</vt:lpstr>
      <vt:lpstr>Załącznik Nr 14</vt:lpstr>
      <vt:lpstr>Załącznik Nr 15</vt:lpstr>
      <vt:lpstr>' Załącznik Nr 9 '!Obszar_wydruku</vt:lpstr>
      <vt:lpstr>'Tabela Nr 1'!Obszar_wydruku</vt:lpstr>
      <vt:lpstr>'Tabela Nr 2'!Obszar_wydruku</vt:lpstr>
      <vt:lpstr>'Tabela Nr 3'!Obszar_wydruku</vt:lpstr>
      <vt:lpstr>'Tabela Nr 4'!Obszar_wydruku</vt:lpstr>
      <vt:lpstr>'Zał Nr 13 adm.rzad.wyd.'!Obszar_wydruku</vt:lpstr>
      <vt:lpstr>'Zał Nr 13 adm.rząd.doch.'!Obszar_wydruku</vt:lpstr>
      <vt:lpstr>'Załącznik Nr 1'!Obszar_wydruku</vt:lpstr>
      <vt:lpstr>'Załącznik Nr 10 '!Obszar_wydruku</vt:lpstr>
      <vt:lpstr>'Załącznik Nr 11'!Obszar_wydruku</vt:lpstr>
      <vt:lpstr>'Załącznik Nr 12'!Obszar_wydruku</vt:lpstr>
      <vt:lpstr>'Załącznik Nr 14'!Obszar_wydruku</vt:lpstr>
      <vt:lpstr>'Załącznik Nr 15'!Obszar_wydruku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8'!Obszar_wydruku</vt:lpstr>
      <vt:lpstr>'Tabela Nr 1'!Tytuły_wydruku</vt:lpstr>
      <vt:lpstr>'Tabela Nr 2'!Tytuły_wydruku</vt:lpstr>
      <vt:lpstr>'Tabela Nr 3'!Tytuły_wydruku</vt:lpstr>
      <vt:lpstr>'Tabela Nr 4'!Tytuły_wydruku</vt:lpstr>
      <vt:lpstr>'Zał Nr 13 adm.rzad.wyd.'!Tytuły_wydruku</vt:lpstr>
      <vt:lpstr>'Załącznik Nr 5'!Tytuły_wydruku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2017-01-04T09:31:10Z</dcterms:modified>
</cp:coreProperties>
</file>